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4140" tabRatio="294" firstSheet="8" activeTab="8"/>
  </bookViews>
  <sheets>
    <sheet name="Results Scores" sheetId="1" state="hidden" r:id="rId1"/>
    <sheet name="Input vs distribution technique" sheetId="2" state="hidden" r:id="rId2"/>
    <sheet name="Sheet1" sheetId="3" state="veryHidden" r:id="rId3"/>
    <sheet name="Attch6 Pg2 Ox vs Dist" sheetId="4" state="hidden" r:id="rId4"/>
    <sheet name="Input vs oxidant approach" sheetId="5" state="hidden" r:id="rId5"/>
    <sheet name="Contaminants vs oxidants" sheetId="6" state="hidden" r:id="rId6"/>
    <sheet name="Named Ranges" sheetId="7" state="veryHidden" r:id="rId7"/>
    <sheet name="1. Remedial Goal vs Media" sheetId="8" state="veryHidden" r:id="rId8"/>
    <sheet name="User Notes" sheetId="9" r:id="rId9"/>
    <sheet name="Entry" sheetId="10" r:id="rId10"/>
    <sheet name="Output" sheetId="11" r:id="rId11"/>
  </sheets>
  <externalReferences>
    <externalReference r:id="rId14"/>
  </externalReferences>
  <definedNames>
    <definedName name="_1._Contaminants_vs_oxidants" localSheetId="9">'Entry'!#REF!</definedName>
    <definedName name="_1._Contaminants_vs_oxidants">#REF!</definedName>
    <definedName name="Ability_to_treat_contaminant_density">'Input vs distribution technique'!$A$43:$A$47</definedName>
    <definedName name="Alkalinity" localSheetId="3">'Input vs oxidant approach'!$A$14:$A$17</definedName>
    <definedName name="Alkalinity" localSheetId="1">'Input vs oxidant approach'!$A$14:$A$17</definedName>
    <definedName name="Alkalinity">'Input vs oxidant approach'!$A$14:$A$17</definedName>
    <definedName name="Amenability" localSheetId="3">'Input vs oxidant approach'!$A$25:$A$29</definedName>
    <definedName name="Amenability" localSheetId="1">'Input vs oxidant approach'!$A$25:$A$29</definedName>
    <definedName name="Amenability">'Input vs oxidant approach'!$A$25:$A$29</definedName>
    <definedName name="Amenability_Wt">'Entry'!$B$61</definedName>
    <definedName name="Chloride" localSheetId="3">'Input vs oxidant approach'!$A$19:$A$23</definedName>
    <definedName name="Chloride" localSheetId="1">'Input vs oxidant approach'!$A$19:$A$23</definedName>
    <definedName name="Chloride">'Input vs oxidant approach'!$A$19:$A$23</definedName>
    <definedName name="Chlorinated_Aromatics" localSheetId="5">'Contaminants vs oxidants'!$A$31:$A$36</definedName>
    <definedName name="Chlorinated_Aromatics">'Contaminants vs oxidants'!$A$31:$A$36</definedName>
    <definedName name="Chlorinateds" localSheetId="5">'Contaminants vs oxidants'!$A$17:$A$29</definedName>
    <definedName name="Chlorinateds">'Contaminants vs oxidants'!$A$17:$A$29</definedName>
    <definedName name="Class_Group">'Entry'!$A$12:$A$16</definedName>
    <definedName name="Class_Group2" localSheetId="6">'Named Ranges'!$B$41:$B$46</definedName>
    <definedName name="Class_Group2">'Named Ranges'!$B$41:$B$46</definedName>
    <definedName name="Common_contaminant_mixture" localSheetId="5">'Contaminants vs oxidants'!$A$4:$A$8</definedName>
    <definedName name="Common_contaminant_mixture">'Contaminants vs oxidants'!$A$4:$A$8</definedName>
    <definedName name="CommonFuels" localSheetId="5">'Contaminants vs oxidants'!$A$10:$A$15</definedName>
    <definedName name="CommonFuels">'Contaminants vs oxidants'!$A$10:$A$15</definedName>
    <definedName name="Consolidated">#REF!</definedName>
    <definedName name="Consolidated_media_types" localSheetId="6">'1. Remedial Goal vs Media'!$A$10:$A$12</definedName>
    <definedName name="Consolidated_media_types">'1. Remedial Goal vs Media'!$A$10:$A$12</definedName>
    <definedName name="ContamDensity">'Input vs distribution technique'!$A$43:$A$47</definedName>
    <definedName name="Contaminant_mass_distribution" localSheetId="3">'Input vs oxidant approach'!$A$31:$A$35</definedName>
    <definedName name="Contaminant_mass_distribution" localSheetId="1">'Input vs oxidant approach'!$A$31:$A$35</definedName>
    <definedName name="Contaminant_mass_distribution">'Input vs oxidant approach'!$A$31:$A$35</definedName>
    <definedName name="data_list">#REF!</definedName>
    <definedName name="Delivery_Depth">'Input vs distribution technique'!$A$34:$A$38</definedName>
    <definedName name="disruption">'Named Ranges'!$D$81:$D$85</definedName>
    <definedName name="Effectiveness">'Entry'!$B$59</definedName>
    <definedName name="Explosives" localSheetId="5">'Contaminants vs oxidants'!$A$38:$A$41</definedName>
    <definedName name="Explosives">'Contaminants vs oxidants'!$A$38:$A$41</definedName>
    <definedName name="Fracture_continuity" localSheetId="1">'Entry'!$B$41</definedName>
    <definedName name="Fracture_continuity">'Entry'!$B$41</definedName>
    <definedName name="Fractures">'Input vs distribution technique'!$A$7:$A$8</definedName>
    <definedName name="Hetero_scale">'Input vs distribution technique'!$A$29:$A$31</definedName>
    <definedName name="Hetero_type">'Input vs distribution technique'!$A$26:$A$27</definedName>
    <definedName name="Heterogeneity">'Input vs distribution technique'!$A$23:$A$24</definedName>
    <definedName name="High">'Entry'!$B$43</definedName>
    <definedName name="Hydraulic_conductivity">'Input vs distribution technique'!$A$17:$A$21</definedName>
    <definedName name="Implementability">'Entry'!$B$60</definedName>
    <definedName name="media" localSheetId="6">'Named Ranges'!$E$1:$E$2</definedName>
    <definedName name="media">'Named Ranges'!$E$1:$E$2</definedName>
    <definedName name="media_list" localSheetId="6">'Named Ranges'!$B$8:$B$11</definedName>
    <definedName name="media_list">'Named Ranges'!$B$8:$B$11</definedName>
    <definedName name="Media_type" localSheetId="7">'Entry'!$B$6</definedName>
    <definedName name="Media_type" localSheetId="1">'Entry'!$B$6</definedName>
    <definedName name="Media_type" localSheetId="6">'Entry'!$B$6</definedName>
    <definedName name="Media_type">'Entry'!$B$6</definedName>
    <definedName name="NewRatings">'Results Scores'!$C$8:$C$12</definedName>
    <definedName name="open_combos" localSheetId="7">#REF!,#REF!,#REF!,#REF!,#REF!</definedName>
    <definedName name="open_combos" localSheetId="3">#REF!,#REF!,#REF!,#REF!,#REF!</definedName>
    <definedName name="open_combos" localSheetId="5">#REF!,#REF!,#REF!,#REF!,#REF!</definedName>
    <definedName name="open_combos" localSheetId="1">#REF!,#REF!,#REF!,#REF!,#REF!</definedName>
    <definedName name="open_combos" localSheetId="4">#REF!,#REF!,#REF!,#REF!,#REF!</definedName>
    <definedName name="open_combos" localSheetId="6">#REF!,#REF!,#REF!,#REF!,#REF!</definedName>
    <definedName name="open_combos">'[1]Output'!$P$9:$S$9,'[1]Output'!$V$9:$AA$9,'[1]Output'!$AC$9:$AD$9,'[1]Output'!$AF$9:$AK$9,'[1]Output'!$AN$9:$AP$9</definedName>
    <definedName name="Perm_Consol">'Input vs distribution technique'!$A$10:$A$11</definedName>
    <definedName name="Permeability__both_primary_and_secondary" localSheetId="1">'Entry'!$B$42:$B$42</definedName>
    <definedName name="Permeability__both_primary_and_secondary">'Entry'!$B$42:$B$42</definedName>
    <definedName name="pH_range" localSheetId="3">'Input vs oxidant approach'!$A$7:$A$12</definedName>
    <definedName name="pH_range" localSheetId="1">'Input vs oxidant approach'!$A$7:$A$12</definedName>
    <definedName name="pH_range">'Input vs oxidant approach'!$A$7:$A$12</definedName>
    <definedName name="PrimaryCOC" localSheetId="5">'Entry'!$B$18</definedName>
    <definedName name="PrimaryCOC" localSheetId="4">'Entry'!$B$18</definedName>
    <definedName name="PrimaryCOC">'Entry'!$B$18</definedName>
    <definedName name="_xlnm.Print_Area" localSheetId="3">'Attch6 Pg2 Ox vs Dist'!$A$1:$H$32</definedName>
    <definedName name="_xlnm.Print_Area" localSheetId="5">'Contaminants vs oxidants'!$A$1:$N$49</definedName>
    <definedName name="_xlnm.Print_Area" localSheetId="9">'Entry'!$A$2:$B$62</definedName>
    <definedName name="_xlnm.Print_Area" localSheetId="4">'Input vs oxidant approach'!$A$1:$O$54</definedName>
    <definedName name="_xlnm.Print_Area" localSheetId="6">'Named Ranges'!$B$74:$Q$79</definedName>
    <definedName name="_xlnm.Print_Area" localSheetId="10">'Output'!$A$1:$X$30</definedName>
    <definedName name="_xlnm.Print_Area" localSheetId="8">'User Notes'!$A$2:$C$39</definedName>
    <definedName name="_xlnm.Print_Titles" localSheetId="3">'Attch6 Pg2 Ox vs Dist'!$1:$1</definedName>
    <definedName name="_xlnm.Print_Titles" localSheetId="9">'Entry'!$1:$1</definedName>
    <definedName name="Ratings" localSheetId="6">'Named Ranges'!$B$23:$B$27</definedName>
    <definedName name="Ratings">'Named Ranges'!$B$23:$B$27</definedName>
    <definedName name="Redisrupt">'Results Scores'!$C$22:$C$26</definedName>
    <definedName name="reduct_range">#REF!</definedName>
    <definedName name="Remediation_goal_type" localSheetId="6">'Named Ranges'!$B$35:$B$37</definedName>
    <definedName name="Remediation_goal_type">'Named Ranges'!$B$35:$B$37</definedName>
    <definedName name="Removal_magnitude" localSheetId="7">'1. Remedial Goal vs Media'!$C$3:$E$3</definedName>
    <definedName name="Removal_magnitude">'1. Remedial Goal vs Media'!$C$3:$E$3</definedName>
    <definedName name="Rev_redisrupt">'Results Scores'!$B$22:$C$26</definedName>
    <definedName name="ReverseOrder">'Results Scores'!$B$8:$C$12</definedName>
    <definedName name="RG">'1. Remedial Goal vs Media'!$C$34</definedName>
    <definedName name="Scores" localSheetId="6">'Named Ranges'!$A$23:$B$27</definedName>
    <definedName name="Scores">'Named Ranges'!$A$23:$B$27</definedName>
    <definedName name="ScoresForRanks">'Output'!$K$78:$K$86,'Output'!$N$78:$W$80,'Output'!$Q$81:$W$86,'Output'!$L$85:$P$85,'Output'!$L$79:$M$80,'Output'!$N$82:$P$82</definedName>
    <definedName name="SecondaryCOC" localSheetId="5">'Entry'!$B$28</definedName>
    <definedName name="SecondaryCOC" localSheetId="4">'Entry'!$B$28</definedName>
    <definedName name="SecondaryCOC">'Entry'!$B$28</definedName>
    <definedName name="SiteActivity">'Input vs distribution technique'!$A$40:$A$41</definedName>
    <definedName name="Transmis_consol">'Input vs distribution technique'!$A$13:$A$14</definedName>
    <definedName name="Transmissivity" localSheetId="1">'Entry'!$B$43:$B$43</definedName>
    <definedName name="Transmissivity">'Entry'!$B$43:$B$43</definedName>
    <definedName name="Unconsolidated_media">#REF!</definedName>
    <definedName name="Unconsolidated_media_types" localSheetId="6">'1. Remedial Goal vs Media'!$A$5:$A$8</definedName>
    <definedName name="Unconsolidated_media_types">'1. Remedial Goal vs Media'!$A$5:$A$8</definedName>
  </definedNames>
  <calcPr fullCalcOnLoad="1"/>
</workbook>
</file>

<file path=xl/comments2.xml><?xml version="1.0" encoding="utf-8"?>
<comments xmlns="http://schemas.openxmlformats.org/spreadsheetml/2006/main">
  <authors>
    <author>John Porcella</author>
  </authors>
  <commentList>
    <comment ref="H1" authorId="0">
      <text>
        <r>
          <rPr>
            <b/>
            <sz val="8"/>
            <rFont val="Tahoma"/>
            <family val="2"/>
          </rPr>
          <t>John Porcella:</t>
        </r>
        <r>
          <rPr>
            <sz val="8"/>
            <rFont val="Tahoma"/>
            <family val="2"/>
          </rPr>
          <t xml:space="preserve">
formerly  - Recirculation
revised April '08 to consolidate to a single unlikely distribution technique</t>
        </r>
      </text>
    </comment>
  </commentList>
</comments>
</file>

<file path=xl/comments3.xml><?xml version="1.0" encoding="utf-8"?>
<comments xmlns="http://schemas.openxmlformats.org/spreadsheetml/2006/main">
  <authors>
    <author>John Porcella</author>
  </authors>
  <commentList>
    <comment ref="A6" authorId="0">
      <text>
        <r>
          <rPr>
            <b/>
            <sz val="8"/>
            <rFont val="Tahoma"/>
            <family val="2"/>
          </rPr>
          <t>John Porcella:</t>
        </r>
        <r>
          <rPr>
            <sz val="8"/>
            <rFont val="Tahoma"/>
            <family val="2"/>
          </rPr>
          <t xml:space="preserve">
formerly  - Recirculation
revised April '08 to consolidate to a single unlikely distribution technique</t>
        </r>
      </text>
    </comment>
  </commentList>
</comments>
</file>

<file path=xl/comments6.xml><?xml version="1.0" encoding="utf-8"?>
<comments xmlns="http://schemas.openxmlformats.org/spreadsheetml/2006/main">
  <authors>
    <author>John Porcella</author>
  </authors>
  <commentList>
    <comment ref="A51" authorId="0">
      <text>
        <r>
          <rPr>
            <b/>
            <sz val="8"/>
            <rFont val="Tahoma"/>
            <family val="2"/>
          </rPr>
          <t>John Porcella:</t>
        </r>
        <r>
          <rPr>
            <sz val="8"/>
            <rFont val="Tahoma"/>
            <family val="2"/>
          </rPr>
          <t xml:space="preserve">
_1._Contaminants_vs_oxidants</t>
        </r>
      </text>
    </comment>
  </commentList>
</comments>
</file>

<file path=xl/sharedStrings.xml><?xml version="1.0" encoding="utf-8"?>
<sst xmlns="http://schemas.openxmlformats.org/spreadsheetml/2006/main" count="2271" uniqueCount="419">
  <si>
    <t>Default values may be assumed for other parameters on the input sheet if they are unavailable from field data.  See the user's manual for these values if needed.</t>
  </si>
  <si>
    <r>
      <t>Step 2:</t>
    </r>
    <r>
      <rPr>
        <sz val="10"/>
        <rFont val="Arial"/>
        <family val="2"/>
      </rPr>
      <t xml:space="preserve">  Select the contaminant to be treated with ISCO.  Within the tool, contaminants are sorted  by groups sharing similar chemical characteristics (e.g., chlorinated solvents, fuel hydrocarbons, etc.).  For both the primary contaminant(s) to be targeted by ISCO treatment, as well as co-contaminant(s) (if any), the user must first select the category of contaminant from a dropdown menu, and then select the specific contaminant from a subsequent list. Primary contaminants combined with oxidants that rate Poor are given a Not Recommended rating.</t>
    </r>
  </si>
  <si>
    <r>
      <t>Step 3:</t>
    </r>
    <r>
      <rPr>
        <sz val="10"/>
        <rFont val="Arial"/>
        <family val="2"/>
      </rPr>
      <t xml:space="preserve">  Select site geochemistry factors which may impact oxidant and/or activation approach selection.  Factors include pH, alkalinity, chlorides, fractional organic carbon content (f</t>
    </r>
    <r>
      <rPr>
        <vertAlign val="subscript"/>
        <sz val="10"/>
        <rFont val="Arial"/>
        <family val="2"/>
      </rPr>
      <t>oc</t>
    </r>
    <r>
      <rPr>
        <sz val="10"/>
        <rFont val="Arial"/>
        <family val="2"/>
      </rPr>
      <t>), and contaminant concentration.  Input for these factors is selected from ranges on a dropdown menu.  For instance, if a site has a natural pH of 5.5, then select 5-6 for the pH input parameter.   For contaminant concentrations, soil concentration data (mg/kg) is preferable, especially if NAPL is suspected to be present.</t>
    </r>
  </si>
  <si>
    <r>
      <t>Step 4:</t>
    </r>
    <r>
      <rPr>
        <sz val="10"/>
        <rFont val="Arial"/>
        <family val="2"/>
      </rPr>
      <t xml:space="preserve"> Select geologic and hydrologic factors which may impact the viability of various ISCO distribution techniques.  Factors here will change based on the input selected in step 1.  Parameters include hydraulic conductivity, scale of heterogeneities for unconsolidated media, and transmissivity and fracture continuity for rock systems.  Depth to contaminant is always a factor. </t>
    </r>
  </si>
  <si>
    <r>
      <t>Step 9:</t>
    </r>
    <r>
      <rPr>
        <sz val="10"/>
        <rFont val="Arial"/>
        <family val="2"/>
      </rPr>
      <t xml:space="preserve"> After viewing results, select several of the more viable ISCO options for consideration and continue with the screening component process.</t>
    </r>
  </si>
  <si>
    <r>
      <t>Step 7:</t>
    </r>
    <r>
      <rPr>
        <sz val="10"/>
        <rFont val="Arial"/>
        <family val="2"/>
      </rPr>
      <t xml:space="preserve"> Select importance factors for each line item consideration in column I and row 13.  These importance factors are located in row 14 and column J. These weighting facors allow the user to give more or less "weight" to each of these considerations, which may be more or less important under certain field circumstances. Using the in-cell drop down menus, select a value between 0-5. A zero value will effectively neutralize a certain consideration's impact on the overall ratings for ISCO approaches. Results will recalculate automatically. Default values are all set to a weight of 3 (equal weight of all considerations).
The sole exception to this is the default on disruption to surface and subsurface activities (Column G13-23 and H13-23) (defaults set to zero).  Here, the user must determine how much weight to give these factors as a function of how much disruption to the surface or subsurface of their site they can inflict (e.g. to utilities, foundations, active facilities, etc.).  A zero indicates no weight to this factor and thus maximum disruption may occur with no change to the approach score.  The higher this is weighted, the more techniques with high disruption to these activities are kicked out as not favorable.
For more information on scoring formulas, see Tips and Comments for scoring formulas.</t>
    </r>
  </si>
  <si>
    <t>Successful implementation of ISCO requires a great deal of informed, site-specific decision-making regarding the selection of oxidants, injection methods and design parameters. This tool was developed by the ESTCP ER-0623 project team, and reflects their knowledge and experience with ISCO. The purpose of this tool is to help inform the user about various ISCO options, and their relative strengths and weaknesses based on limited site characterization data. This may enable a user to identify potentially successful remedies, as well as ask important questions regarding the compatibility of a certain approach with their site. However, it is NOT capable of foreseeing every set of site-specific circumstances, nor is it a replacement for sound engineering and scientific judgment. Future technology innovations may also enable ISCO in environments where it presently is not recommended. Thus, the user is cautioned to use this guidance as an informative tool, but not to rely exclusively on it for technology selection.</t>
  </si>
  <si>
    <r>
      <t>To enable accurate screening, certain data must be collected before this tool may be used.  Values that users must absolutely know are the primary COC to be treated, some sense of COC concentration either in soil or groundwater samples, the average depth to contamination, the media type (unconsolidated porous media vs. consolidated bedrock), some indication of whether or not the site is heterogeneous, and some idea of the hydraulic conductivity that is to be expected.  If field measurements of hydraulic conductivity are unavailable, a hydraulic conductivity range may be estimated from observation of other field parameters.  For example, if the site is obviously permeable (e.g., a coarse sandy site or high groundwater velocities), then a hydraulic conductivity of &gt;10</t>
    </r>
    <r>
      <rPr>
        <vertAlign val="superscript"/>
        <sz val="10"/>
        <rFont val="Arial"/>
        <family val="2"/>
      </rPr>
      <t>-3</t>
    </r>
    <r>
      <rPr>
        <sz val="10"/>
        <rFont val="Arial"/>
        <family val="2"/>
      </rPr>
      <t xml:space="preserve"> cm/sec may be selected.  If the site is obviously impermeable (e.g., a clay site), then a hydraulic conductivity of &lt;10</t>
    </r>
    <r>
      <rPr>
        <vertAlign val="superscript"/>
        <sz val="10"/>
        <rFont val="Arial"/>
        <family val="2"/>
      </rPr>
      <t>-6</t>
    </r>
    <r>
      <rPr>
        <sz val="10"/>
        <rFont val="Arial"/>
        <family val="2"/>
      </rPr>
      <t xml:space="preserve"> cm/sec may be selected.  If the site is neither obviously permeable or impermeable, then a field estimation of hydraulic conductivity is highly recommended.
</t>
    </r>
  </si>
  <si>
    <t>The tool shows ratings for only those combinations that will provide a reasonable chance of success.  Unlikely or impractical combinations are either blacked out or display a "not recommended" value.</t>
  </si>
  <si>
    <r>
      <t>Step 1:</t>
    </r>
    <r>
      <rPr>
        <sz val="10"/>
        <rFont val="Arial"/>
        <family val="2"/>
      </rPr>
      <t xml:space="preserve">  Begin on the "Entry" sheet. All user entry cells are unshaded.
Select the Media factors from the 2 drop down lists. The categories are "Media type"  which broadly classifies the site geology as either consolidated media (e.g., rock) or unconsolidated (e.g. sand / soil), and "Media" to further describe the geologic setting in a non-quantitative way accounting for heterogeneity and permeability.</t>
    </r>
  </si>
  <si>
    <r>
      <t xml:space="preserve">Assigning weighting factors: </t>
    </r>
    <r>
      <rPr>
        <sz val="10"/>
        <rFont val="Arial"/>
        <family val="2"/>
      </rPr>
      <t>It is recommended that Amenability be weighted highly. As amenability to oxidation is generally very important for technology screening, it is recommended that the starting weight be 50%. Site-specific issues should be considered and appropriate adjustments made. For example, commonly found chlorinated solvents like TCE are quite amenable. In this case, the weight should be reduced to 33% or less as site specific values like surface interferences or water quality become more important. For less amenable COCs like PCBs, the weight should be between 60 to 75% or even more. It is assumed that the technology screening will include other technologies besides ISCO.</t>
    </r>
  </si>
  <si>
    <t>User Notes for the ISCO Screening Tool</t>
  </si>
  <si>
    <t>Table of Contents</t>
  </si>
  <si>
    <t>Background</t>
  </si>
  <si>
    <t>The Worksheets</t>
  </si>
  <si>
    <t>Getting Started</t>
  </si>
  <si>
    <t>Tips and Comments</t>
  </si>
  <si>
    <t>Making Changes</t>
  </si>
  <si>
    <t>Please Enable Macros!!!!!!</t>
  </si>
  <si>
    <t>1. Site Conditions</t>
  </si>
  <si>
    <t>Contaminant mass density</t>
  </si>
  <si>
    <t>Low</t>
  </si>
  <si>
    <t>Choose either "Low" or "High"</t>
  </si>
  <si>
    <t>Removal magnitude (percent)</t>
  </si>
  <si>
    <t>99-99.9</t>
  </si>
  <si>
    <t>Remediation goal type</t>
  </si>
  <si>
    <t>Concentration reduction</t>
  </si>
  <si>
    <t>Media type</t>
  </si>
  <si>
    <t>Consolidated media</t>
  </si>
  <si>
    <t>Media</t>
  </si>
  <si>
    <t>Heterogeneous permeable</t>
  </si>
  <si>
    <t>2. Contaminants</t>
  </si>
  <si>
    <t>a. Primary Contaminant</t>
  </si>
  <si>
    <t xml:space="preserve">Common specific fuel contaminants </t>
  </si>
  <si>
    <t>Common contaminant mixtures</t>
  </si>
  <si>
    <t>Polychlorinated biphenyls (PCBs) or polybrominated biphenyls</t>
  </si>
  <si>
    <t>Benzene</t>
  </si>
  <si>
    <t>Common chlorinated solvents</t>
  </si>
  <si>
    <t>Trichloroethene (TCE)</t>
  </si>
  <si>
    <t>Chlorinated aromatic contaminants</t>
  </si>
  <si>
    <t>Dichlorophenols and chlorophenols</t>
  </si>
  <si>
    <t>Explosives</t>
  </si>
  <si>
    <t>RDX and HMX</t>
  </si>
  <si>
    <t>Primary Contaminant Selection</t>
  </si>
  <si>
    <t>b. Co-Contaminant</t>
  </si>
  <si>
    <t>Heavy hydrocarbon fuels (fuel oils, bunker oil, etc.)</t>
  </si>
  <si>
    <t>Toluene</t>
  </si>
  <si>
    <t>Tetrachloroethene (PCE)</t>
  </si>
  <si>
    <t>chlorobenzene</t>
  </si>
  <si>
    <t>TNT and DNT</t>
  </si>
  <si>
    <t xml:space="preserve"> Co-Contaminant Selection</t>
  </si>
  <si>
    <t>pH range</t>
  </si>
  <si>
    <t>7-8</t>
  </si>
  <si>
    <t>0-300</t>
  </si>
  <si>
    <t xml:space="preserve">Chloride Concentration (mg/L) </t>
  </si>
  <si>
    <t>300-1000</t>
  </si>
  <si>
    <t>(should include chloride equivalent based on both initial chloride and contaminant concentrations)</t>
  </si>
  <si>
    <t>foc&lt;0.3% but foc&gt;0.1%</t>
  </si>
  <si>
    <t>Contaminant mass distribution</t>
  </si>
  <si>
    <t>Media Type</t>
  </si>
  <si>
    <t xml:space="preserve"> </t>
  </si>
  <si>
    <t>Consolidated media properties</t>
  </si>
  <si>
    <t>Fracture continuity</t>
  </si>
  <si>
    <t>Poor fracture continuity</t>
  </si>
  <si>
    <t>Permeability (both primary and secondary)</t>
  </si>
  <si>
    <t>Transmissivity</t>
  </si>
  <si>
    <t>High</t>
  </si>
  <si>
    <t>Unconsolidated media properties</t>
  </si>
  <si>
    <t>Hydraulic conductivity</t>
  </si>
  <si>
    <t>Magnitude of Heterogeneity</t>
  </si>
  <si>
    <t>Kmax/Kmin &gt;1,000</t>
  </si>
  <si>
    <t>Type of heterogeneity if Kmax/Kmin &gt;1000</t>
  </si>
  <si>
    <t>Layered heterogeneous</t>
  </si>
  <si>
    <t>Scale of heterogeneities (i.e. distance between lenses of alternating materials)</t>
  </si>
  <si>
    <t>Medium (0.3-1 m)</t>
  </si>
  <si>
    <t>Other important delivery parameters</t>
  </si>
  <si>
    <t>Depth of delivery</t>
  </si>
  <si>
    <t>Surface activity disruption intensity</t>
  </si>
  <si>
    <t>Medium</t>
  </si>
  <si>
    <t>Subsurface activity disruption intensity</t>
  </si>
  <si>
    <t>Ability to treat contaminant density</t>
  </si>
  <si>
    <t>Moderate (100-1,000 mg/kg or 1-10 mg/L)</t>
  </si>
  <si>
    <t>5. User's Weighting Factors (total adds to 100%)</t>
  </si>
  <si>
    <t>Effectiveness</t>
  </si>
  <si>
    <t>Implementability</t>
  </si>
  <si>
    <t>Low contaminant mass density</t>
  </si>
  <si>
    <t>Remediation goal type:</t>
  </si>
  <si>
    <t>Mass reduction</t>
  </si>
  <si>
    <t>Mass flux reduction</t>
  </si>
  <si>
    <t>Removal magnitude (percent):</t>
  </si>
  <si>
    <t>50-90</t>
  </si>
  <si>
    <t>90-99</t>
  </si>
  <si>
    <t>Unconsolidated media</t>
  </si>
  <si>
    <t>Homogeneous permeable</t>
  </si>
  <si>
    <t>Probable</t>
  </si>
  <si>
    <t>Possible</t>
  </si>
  <si>
    <t>Unlikely</t>
  </si>
  <si>
    <t>Homogeneous impermeable</t>
  </si>
  <si>
    <t>Heterogeneous impermeable</t>
  </si>
  <si>
    <t>Sedimentary</t>
  </si>
  <si>
    <t>Igneous / metamorphic</t>
  </si>
  <si>
    <t>Karst</t>
  </si>
  <si>
    <t>High contaminant mass density</t>
  </si>
  <si>
    <t>Unconsolidated media:</t>
  </si>
  <si>
    <t>Consolidated media (fractured):</t>
  </si>
  <si>
    <t>Address</t>
  </si>
  <si>
    <t>Offset</t>
  </si>
  <si>
    <t>Offset for Rows</t>
  </si>
  <si>
    <t>Offset for Columns</t>
  </si>
  <si>
    <t>Base Offset for Rows</t>
  </si>
  <si>
    <t>Media Match</t>
  </si>
  <si>
    <t>Column groups</t>
  </si>
  <si>
    <t>Subcolumn</t>
  </si>
  <si>
    <t>ISCO Oxidant-Delivery Options Based on Screening of Site Conditions, COC Conditions, and PRGs/RAOs</t>
  </si>
  <si>
    <t>Permanganate</t>
  </si>
  <si>
    <t>Hydrogen peroxide</t>
  </si>
  <si>
    <t>Ozone</t>
  </si>
  <si>
    <t>Persulfate</t>
  </si>
  <si>
    <t>Chelated activation</t>
  </si>
  <si>
    <t>Alkaline activation</t>
  </si>
  <si>
    <t>Direct-push Probe Injection</t>
  </si>
  <si>
    <t>Vertical Wells - Longer-term continuous delivery</t>
  </si>
  <si>
    <t>Horizontal Wells - Longer-term continuous delivery</t>
  </si>
  <si>
    <t>Vertical Wells - Recirculation</t>
  </si>
  <si>
    <t>Horizontal Wells - Recirculation</t>
  </si>
  <si>
    <t>Soil Mixing</t>
  </si>
  <si>
    <t>Trench or curtain Injection (i.e., intercept a plume)</t>
  </si>
  <si>
    <t>Pneumatic - Fracture emplaced ISCO amendment</t>
  </si>
  <si>
    <t>Hydraulic - Fracture emplaced ISCO amendment</t>
  </si>
  <si>
    <t>Surface application or infiltration gallery</t>
  </si>
  <si>
    <t>Amenability of primary COCs to oxidation</t>
  </si>
  <si>
    <t>Amenability of co-contaminants to oxidation</t>
  </si>
  <si>
    <t>Ability of approach to work with site foc</t>
  </si>
  <si>
    <t>Ability of approach to work with site pH</t>
  </si>
  <si>
    <t>Ability of approach to work with site alkalinity</t>
  </si>
  <si>
    <t>Ability of approach to work with site chloride</t>
  </si>
  <si>
    <t>Ability of approach to work with site mass distribution</t>
  </si>
  <si>
    <t>Scores</t>
  </si>
  <si>
    <t>Weighted Scores</t>
  </si>
  <si>
    <t>"media"</t>
  </si>
  <si>
    <t>named range</t>
  </si>
  <si>
    <t>Check Value</t>
  </si>
  <si>
    <t>Length of Consolidated</t>
  </si>
  <si>
    <t>Length of Unconsolidated</t>
  </si>
  <si>
    <t>Where in Media List</t>
  </si>
  <si>
    <t>Top half or bottom half</t>
  </si>
  <si>
    <t>Selection Row</t>
  </si>
  <si>
    <t>Not recommended</t>
  </si>
  <si>
    <t>Poor</t>
  </si>
  <si>
    <t>Fair</t>
  </si>
  <si>
    <t>Good</t>
  </si>
  <si>
    <t>Excellent</t>
  </si>
  <si>
    <t>Class_Group2</t>
  </si>
  <si>
    <t>None</t>
  </si>
  <si>
    <t>Sedimentary, Igneous / metamorphic, Karst</t>
  </si>
  <si>
    <t>Hidden or Visible or Very Hidden Status</t>
  </si>
  <si>
    <t>User Notes</t>
  </si>
  <si>
    <t>Visible</t>
  </si>
  <si>
    <t>1. Remedial Goal vs Media</t>
  </si>
  <si>
    <t>Very Hidden</t>
  </si>
  <si>
    <t>Named Ranges</t>
  </si>
  <si>
    <t>Entry</t>
  </si>
  <si>
    <t>Contaminants vs oxidants</t>
  </si>
  <si>
    <t>Hidden</t>
  </si>
  <si>
    <t>Input vs oxidant approach</t>
  </si>
  <si>
    <t>Attch6 Pg2 Ox vs Dist</t>
  </si>
  <si>
    <t>Input vs distribution technique</t>
  </si>
  <si>
    <t>Output</t>
  </si>
  <si>
    <t>OldOutput</t>
  </si>
  <si>
    <t>DELETE</t>
  </si>
  <si>
    <t>Test</t>
  </si>
  <si>
    <t>Common ISCO treated contaminants</t>
  </si>
  <si>
    <t>Hydrogen Peroxide</t>
  </si>
  <si>
    <t>Light hydrocarbon fuels (gasoline, diesel, kerosene, jet fuel etc.)</t>
  </si>
  <si>
    <t>Creosote, coal tar, MGP residuals, or other PAH mixtures</t>
  </si>
  <si>
    <t>N/R</t>
  </si>
  <si>
    <t>Dioxins or furans</t>
  </si>
  <si>
    <t>Common specific fuel contaminants and breakdown products</t>
  </si>
  <si>
    <t>Ethylbenzene</t>
  </si>
  <si>
    <t>Xylenes (o-, p- or m-)</t>
  </si>
  <si>
    <t>Methyl-tertbutylether (MTBE)</t>
  </si>
  <si>
    <t>Tert-butyl alcohol (TBA)</t>
  </si>
  <si>
    <t>Common chlorinated solvents, stabilizers and their breakdown products</t>
  </si>
  <si>
    <t>Dichloroethenes (1,1-, cis-1,2-, and trans-1,2-)</t>
  </si>
  <si>
    <t>Vinyl Chloride</t>
  </si>
  <si>
    <t>Tetrachloroethanes (1,1,1,2- and 1,1,2,2-)</t>
  </si>
  <si>
    <t>Trichloroethanes (1,1,1- and 1,1,2-)</t>
  </si>
  <si>
    <t>Dichloroethanes (1,1- and 1,2-)</t>
  </si>
  <si>
    <t>Chloroethane</t>
  </si>
  <si>
    <t>Carbon tetrachloride</t>
  </si>
  <si>
    <t>Chloroform</t>
  </si>
  <si>
    <t>Dichloromethane</t>
  </si>
  <si>
    <t>Methylene Chloride</t>
  </si>
  <si>
    <t>1-4-Dioxane</t>
  </si>
  <si>
    <t>Pentachlorophenol (PCP)</t>
  </si>
  <si>
    <t>Tri and tetrachlorophenols</t>
  </si>
  <si>
    <t>Di and trichlorobenzenes</t>
  </si>
  <si>
    <t>Hexachlorobenzene</t>
  </si>
  <si>
    <t>Explosives, energetics and breakdown products</t>
  </si>
  <si>
    <t>Di and Trinitrobenzenes</t>
  </si>
  <si>
    <t>Mono and dinitrophenols</t>
  </si>
  <si>
    <t>COC</t>
  </si>
  <si>
    <t>Value</t>
  </si>
  <si>
    <t>Imp Fs</t>
  </si>
  <si>
    <t>Primary</t>
  </si>
  <si>
    <t>Secondary</t>
  </si>
  <si>
    <t>Weighted</t>
  </si>
  <si>
    <t>Parameter</t>
  </si>
  <si>
    <t>Ozone only</t>
  </si>
  <si>
    <t>Ozone with peroxide</t>
  </si>
  <si>
    <t>Hydrogen peroxide only</t>
  </si>
  <si>
    <t>Iron / acid amended activation</t>
  </si>
  <si>
    <t>Thermal activation</t>
  </si>
  <si>
    <t>Iron / acid activation</t>
  </si>
  <si>
    <t>No activation (mineral activation)</t>
  </si>
  <si>
    <t>Peroxide activation</t>
  </si>
  <si>
    <t>Amenability of COCs to oxidative degradation</t>
  </si>
  <si>
    <t>Primary COCs</t>
  </si>
  <si>
    <t>Co-contaminants</t>
  </si>
  <si>
    <t>&lt;5</t>
  </si>
  <si>
    <t>5-6</t>
  </si>
  <si>
    <t>6-7</t>
  </si>
  <si>
    <t>8-9</t>
  </si>
  <si>
    <t>&gt;9</t>
  </si>
  <si>
    <t>1000-3000</t>
  </si>
  <si>
    <t>&gt;3000</t>
  </si>
  <si>
    <t>Chloride Concentration (mg/L) (should include chloride equivalent based on contaminant concentrations)</t>
  </si>
  <si>
    <t>3000-10000</t>
  </si>
  <si>
    <t>&gt;10000</t>
  </si>
  <si>
    <t>Amenability of oxidant approach to saturated zone foc</t>
  </si>
  <si>
    <t>foc&gt;3.0%</t>
  </si>
  <si>
    <t>foc&lt;3.0% but foc&gt;1.0%</t>
  </si>
  <si>
    <t>foc&lt;1.0% but foc&gt;0.3%</t>
  </si>
  <si>
    <t>foc&lt;0.1%</t>
  </si>
  <si>
    <t>Activation Score</t>
  </si>
  <si>
    <t>1 = commonly used (e.g., &gt;30% of sites treated)</t>
  </si>
  <si>
    <t>2 = has been used but not widely (&lt;10% of sites treated)</t>
  </si>
  <si>
    <t>3 = has been used but rarely (e.g., &lt;1% of sites treated)</t>
  </si>
  <si>
    <t>4 = Technically possible but not used to any extent yet (e.g., only a few sites treated)</t>
  </si>
  <si>
    <t>5 = technically not likely to be implemented</t>
  </si>
  <si>
    <r>
      <t>Alkalinity mg/L as CaCO</t>
    </r>
    <r>
      <rPr>
        <b/>
        <vertAlign val="subscript"/>
        <sz val="10"/>
        <rFont val="Verdana"/>
        <family val="2"/>
      </rPr>
      <t>3</t>
    </r>
  </si>
  <si>
    <r>
      <t xml:space="preserve">Very Low (&lt;10 mg/kg or &lt;100 </t>
    </r>
    <r>
      <rPr>
        <sz val="10"/>
        <rFont val="Symbol"/>
        <family val="1"/>
      </rPr>
      <t>m</t>
    </r>
    <r>
      <rPr>
        <sz val="10"/>
        <rFont val="Verdana"/>
        <family val="2"/>
      </rPr>
      <t>g/L)</t>
    </r>
  </si>
  <si>
    <r>
      <t>Saturated zone f</t>
    </r>
    <r>
      <rPr>
        <vertAlign val="subscript"/>
        <sz val="12"/>
        <rFont val="Book Antiqua"/>
        <family val="1"/>
      </rPr>
      <t>oc</t>
    </r>
  </si>
  <si>
    <t>Distribution Technique</t>
  </si>
  <si>
    <t>2blank</t>
  </si>
  <si>
    <t>Vertical Wells</t>
  </si>
  <si>
    <t>Horizontal Wells</t>
  </si>
  <si>
    <t>Well Injection - Longer-term continuous delivery</t>
  </si>
  <si>
    <t>3blank</t>
  </si>
  <si>
    <t>Recirculation</t>
  </si>
  <si>
    <t>4blank</t>
  </si>
  <si>
    <t>Fracture emplaced ISCO amendment*</t>
  </si>
  <si>
    <t>Fracture emplaced ISCO amendment</t>
  </si>
  <si>
    <t>Pneumatic</t>
  </si>
  <si>
    <t>Hydraulic</t>
  </si>
  <si>
    <t>* In addition to fracturing improving delivery, some sites have injected oxidant in a solid form during the fracturing process</t>
  </si>
  <si>
    <t>Total &lt;5 score</t>
  </si>
  <si>
    <t>** Fracturing may be done to improve delivery distribution, but oxidant injection is accomplished through separate wells or sparge points</t>
  </si>
  <si>
    <t>Values given in the table reflect general level of usage as of 2007.</t>
  </si>
  <si>
    <t>Total # (less asterisks)</t>
  </si>
  <si>
    <t>Activation Techniques</t>
  </si>
  <si>
    <t>Total Total Combos</t>
  </si>
  <si>
    <t>Count Up Approaches</t>
  </si>
  <si>
    <t>cells</t>
  </si>
  <si>
    <t># of combos</t>
  </si>
  <si>
    <t># &gt;3</t>
  </si>
  <si>
    <t>#&lt;5</t>
  </si>
  <si>
    <t># blank</t>
  </si>
  <si>
    <t>Imp F</t>
  </si>
  <si>
    <t>Soil mixing</t>
  </si>
  <si>
    <t>Trench or curtain Injection (i.e. intercept a plume)</t>
  </si>
  <si>
    <t>Amenability to media type</t>
  </si>
  <si>
    <t>Excellent*</t>
  </si>
  <si>
    <t xml:space="preserve">Good fracture continuity </t>
  </si>
  <si>
    <t>Kmax/Kmin &lt;1,000</t>
  </si>
  <si>
    <t>Type of heterogeneity if Kmax/Kmin &gt;1,000</t>
  </si>
  <si>
    <t>Randomly heterogeneous</t>
  </si>
  <si>
    <t>Small (&lt;0.3 m)</t>
  </si>
  <si>
    <t>Large (&gt;1 m)</t>
  </si>
  <si>
    <t>Site activity disruption intensity</t>
  </si>
  <si>
    <t>Disruption of surface activities overlying TTZ (buildings, active roads, restricted areas, etc)</t>
  </si>
  <si>
    <t>Disruption of subsurface activities within TTZ (foundations, utilities, etc.)</t>
  </si>
  <si>
    <t>Excellent**</t>
  </si>
  <si>
    <t>Low (10-100 mg/kg or 0.1-1 mg/L)</t>
  </si>
  <si>
    <t>High (1,000-10,000 mg/kg or 10-100 mg/L)</t>
  </si>
  <si>
    <t>Very high (&gt;10,000 mg/kg or &gt;100 mg/L)</t>
  </si>
  <si>
    <t>Notes:</t>
  </si>
  <si>
    <t>* Delivery technique challenged by rocky soils</t>
  </si>
  <si>
    <t>**Injection technique probably overkill for this contaminant density</t>
  </si>
  <si>
    <t>Better for longer term application because fractures remain open</t>
  </si>
  <si>
    <t>Better for short term remediation or single injection because fractures can collapse</t>
  </si>
  <si>
    <t>***Reduced response due to high anticipated costs for small treatment areas.  Technical performance is still good</t>
  </si>
  <si>
    <t>Higher fracture density and less intensive installation than hydraulic fracturing</t>
  </si>
  <si>
    <t>Media Property Averages</t>
  </si>
  <si>
    <t>Consolidated Media</t>
  </si>
  <si>
    <t>Conductivity</t>
  </si>
  <si>
    <t>Heterogeneity</t>
  </si>
  <si>
    <t>Unconsolidated Media</t>
  </si>
  <si>
    <t>Result</t>
  </si>
  <si>
    <t>Maximum</t>
  </si>
  <si>
    <t>Minimum</t>
  </si>
  <si>
    <t>Scale of heterogeneities (i.e., distance between lenses of alternating materials)</t>
  </si>
  <si>
    <t>Vertical Well Injection</t>
  </si>
  <si>
    <t>Horizontal Well Injection</t>
  </si>
  <si>
    <t xml:space="preserve">Well injection - </t>
  </si>
  <si>
    <t>Vertical Injection Wells</t>
  </si>
  <si>
    <t>Lower fracture density but larger apertures allowing for more reagent addition.  Slow fracture propagation requires more field time. 
Not viable in seismically active bedrock. Consider potential to mobilize contaminant (DNAPL).</t>
  </si>
  <si>
    <t>Total sum of weighting factors must equal 100%</t>
  </si>
  <si>
    <t>Not Recommended</t>
  </si>
  <si>
    <r>
      <t>&gt;10</t>
    </r>
    <r>
      <rPr>
        <vertAlign val="superscript"/>
        <sz val="10"/>
        <rFont val="Verdana"/>
        <family val="2"/>
      </rPr>
      <t>-3</t>
    </r>
    <r>
      <rPr>
        <sz val="10"/>
        <rFont val="Verdana"/>
        <family val="2"/>
      </rPr>
      <t xml:space="preserve"> cm/sec (&gt;3 ft/day)</t>
    </r>
  </si>
  <si>
    <r>
      <t>&lt;10</t>
    </r>
    <r>
      <rPr>
        <vertAlign val="superscript"/>
        <sz val="10"/>
        <rFont val="Verdana"/>
        <family val="2"/>
      </rPr>
      <t>-3</t>
    </r>
    <r>
      <rPr>
        <sz val="10"/>
        <rFont val="Verdana"/>
        <family val="2"/>
      </rPr>
      <t xml:space="preserve"> but &gt;10</t>
    </r>
    <r>
      <rPr>
        <vertAlign val="superscript"/>
        <sz val="10"/>
        <rFont val="Verdana"/>
        <family val="2"/>
      </rPr>
      <t>-4</t>
    </r>
    <r>
      <rPr>
        <sz val="10"/>
        <rFont val="Verdana"/>
        <family val="2"/>
      </rPr>
      <t xml:space="preserve"> cm/sec (0.3 – 3 ft/day)</t>
    </r>
  </si>
  <si>
    <r>
      <t>&lt;10</t>
    </r>
    <r>
      <rPr>
        <vertAlign val="superscript"/>
        <sz val="10"/>
        <rFont val="Verdana"/>
        <family val="2"/>
      </rPr>
      <t>-4</t>
    </r>
    <r>
      <rPr>
        <sz val="10"/>
        <rFont val="Verdana"/>
        <family val="2"/>
      </rPr>
      <t xml:space="preserve"> but &gt;10</t>
    </r>
    <r>
      <rPr>
        <vertAlign val="superscript"/>
        <sz val="10"/>
        <rFont val="Verdana"/>
        <family val="2"/>
      </rPr>
      <t>-5</t>
    </r>
    <r>
      <rPr>
        <sz val="10"/>
        <rFont val="Verdana"/>
        <family val="2"/>
      </rPr>
      <t xml:space="preserve"> cm/sec (0.03 – 0.3 ft/day)</t>
    </r>
  </si>
  <si>
    <r>
      <t>&lt;10</t>
    </r>
    <r>
      <rPr>
        <vertAlign val="superscript"/>
        <sz val="10"/>
        <rFont val="Verdana"/>
        <family val="2"/>
      </rPr>
      <t>-5</t>
    </r>
    <r>
      <rPr>
        <sz val="10"/>
        <rFont val="Verdana"/>
        <family val="2"/>
      </rPr>
      <t xml:space="preserve"> but &gt;10</t>
    </r>
    <r>
      <rPr>
        <vertAlign val="superscript"/>
        <sz val="10"/>
        <rFont val="Verdana"/>
        <family val="2"/>
      </rPr>
      <t>-6</t>
    </r>
    <r>
      <rPr>
        <sz val="10"/>
        <rFont val="Verdana"/>
        <family val="2"/>
      </rPr>
      <t xml:space="preserve"> cm/sec (0.003 – 0.03 ft/day)</t>
    </r>
  </si>
  <si>
    <r>
      <t>&lt;10</t>
    </r>
    <r>
      <rPr>
        <vertAlign val="superscript"/>
        <sz val="10"/>
        <rFont val="Verdana"/>
        <family val="2"/>
      </rPr>
      <t>-6</t>
    </r>
    <r>
      <rPr>
        <sz val="10"/>
        <rFont val="Verdana"/>
        <family val="2"/>
      </rPr>
      <t xml:space="preserve"> cm/sec (&lt;0.003 ft/day)</t>
    </r>
  </si>
  <si>
    <t>&lt;5 m bgs (&lt; 5 ft)</t>
  </si>
  <si>
    <t>&lt;10 m bgs but &gt;5 m bgs (15 – 35 ft)</t>
  </si>
  <si>
    <t>&lt;25 m bgs but &gt;10 m bgs (35 – 80 ft)</t>
  </si>
  <si>
    <t>&lt;50 m bgs but &gt;25 m bgs (80 – 165 ft)</t>
  </si>
  <si>
    <t>&gt;50 m bgs (&gt;165 ft)</t>
  </si>
  <si>
    <t>“Intense” in lieu of “poor”</t>
  </si>
  <si>
    <t>“Moderate” in lieu of “fair”</t>
  </si>
  <si>
    <t>“light” in lieu of “good”</t>
  </si>
  <si>
    <t>“very light” in lieu of “excellent</t>
  </si>
  <si>
    <t>Intense</t>
  </si>
  <si>
    <t>Moderate</t>
  </si>
  <si>
    <t>Light</t>
  </si>
  <si>
    <t>Very light</t>
  </si>
  <si>
    <t>disruption</t>
  </si>
  <si>
    <t>Intense, Moderate, Light, Very light</t>
  </si>
  <si>
    <t>Very Light</t>
  </si>
  <si>
    <t>Amenability (agent's oxidation ability)</t>
  </si>
  <si>
    <t>Chelated iron
 activation</t>
  </si>
  <si>
    <t>No Activation
(mineral catalysis)</t>
  </si>
  <si>
    <t>Iron/acid activation</t>
  </si>
  <si>
    <t>No activation (mineral catalysis)</t>
  </si>
  <si>
    <t>Amenability to 
site media type</t>
  </si>
  <si>
    <t xml:space="preserve">Amenability to site heterogeneity </t>
  </si>
  <si>
    <t>Ability to reach depth of contamination</t>
  </si>
  <si>
    <t>Direct-push
Probe Injection</t>
  </si>
  <si>
    <t>Vertical Wells -
Recirculation</t>
  </si>
  <si>
    <t>Hydraulic Fracture emplaced ISCO amendment</t>
  </si>
  <si>
    <t>Pneumatic Fracture emplaced ISCO amendment</t>
  </si>
  <si>
    <t>Trench or curtain Injection</t>
  </si>
  <si>
    <t>Surface application /
 infiltration gallery</t>
  </si>
  <si>
    <r>
      <t xml:space="preserve">Oxidant type </t>
    </r>
    <r>
      <rPr>
        <b/>
        <sz val="24"/>
        <rFont val="Arial"/>
        <family val="2"/>
      </rPr>
      <t>→</t>
    </r>
  </si>
  <si>
    <t>Percarbonate</t>
  </si>
  <si>
    <t>Applies to COCs</t>
  </si>
  <si>
    <t>Selections</t>
  </si>
  <si>
    <t>Translation Area to allow for copy &amp; paste to output area</t>
  </si>
  <si>
    <t>Not used</t>
  </si>
  <si>
    <t>Check Row</t>
  </si>
  <si>
    <t>Check Column</t>
  </si>
  <si>
    <t>Score</t>
  </si>
  <si>
    <t>"No Rating"</t>
  </si>
  <si>
    <t>No Rating in lieu of Not Recommended</t>
  </si>
  <si>
    <t>No Rating</t>
  </si>
  <si>
    <t>Reverse Order</t>
  </si>
  <si>
    <t>Reverse Disruption</t>
  </si>
  <si>
    <t>Disruption Ratings</t>
  </si>
  <si>
    <t>Better for short term remediation or single injection because fractures can collapse. Higher fracture density and less intensive installation than hydraulic fracturing</t>
  </si>
  <si>
    <t>Better for longer term application because fractures remain open.  Lower fracture density but larger apertures allowing for more reagent addition.  Slow fracture propagation requires more field time.   Not viable in seismically active bedrock. Consider potential to mobilize contaminant (DNAPL).</t>
  </si>
  <si>
    <t>Hydraulic Fracture emplaced ISCO amendment +</t>
  </si>
  <si>
    <t>Pneumatic Fracture emplaced ISCO amendment ++</t>
  </si>
  <si>
    <t>+Hydraulic Fracture</t>
  </si>
  <si>
    <t>++Pneumatic Fracture</t>
  </si>
  <si>
    <t>=Amenability_Wt</t>
  </si>
  <si>
    <t>=Implementability</t>
  </si>
  <si>
    <t>=Effectiveness</t>
  </si>
  <si>
    <t>Results Scores</t>
  </si>
  <si>
    <t>Homogeneous permeable, Heterogeneous permeable, Homogeneous impermeable, Heterogeneous impermeable</t>
  </si>
  <si>
    <t>Ranks</t>
  </si>
  <si>
    <t>Activation Technique</t>
  </si>
  <si>
    <t>HAS TO BE IN CODE</t>
  </si>
  <si>
    <t>Overall Score (Rank)</t>
  </si>
  <si>
    <t>Importance
 factor</t>
  </si>
  <si>
    <t>Importance factor</t>
  </si>
  <si>
    <r>
      <t xml:space="preserve">Implementation (Injection) Methods
</t>
    </r>
    <r>
      <rPr>
        <b/>
        <sz val="13"/>
        <rFont val="Arial"/>
        <family val="2"/>
      </rPr>
      <t>↓</t>
    </r>
  </si>
  <si>
    <t>Overall Implementability</t>
  </si>
  <si>
    <t>Contaminant concentration</t>
  </si>
  <si>
    <t>Testing</t>
  </si>
  <si>
    <t>Overall Oxidant Amenability</t>
  </si>
  <si>
    <t>Overall Oxidant Effectiveness</t>
  </si>
  <si>
    <t>Scoring: Scores are calculated as follows: ln[(Sum of (exp(Oxidant Amenability)*Importance Factors)/(Sum of Oxidant Amenability Importance Factors )* Oxidant Amenability Weight) + 
(Sum of exp(Oxidant Effectiveness Scores)*Importance Factors))/(Sum of Oxidant Effectiveness Importance Factors) *  Oxidant Effectiveness Weight) + 
(Sum of exp(Implementability Score)*Importance Factors /Sum of Implementability Importance Factors)*Implementability Weight))]</t>
  </si>
  <si>
    <t>Instructions for Getting Started</t>
  </si>
  <si>
    <t>poor</t>
  </si>
  <si>
    <t>&lt;5 m bgs (&lt; 15 ft)</t>
  </si>
  <si>
    <t>good</t>
  </si>
  <si>
    <t>fair</t>
  </si>
  <si>
    <t>Before You Begin</t>
  </si>
  <si>
    <t>ATTACHMENT 5:  ISCO Screening Tool</t>
  </si>
  <si>
    <r>
      <t xml:space="preserve">Input Form </t>
    </r>
    <r>
      <rPr>
        <b/>
        <u val="single"/>
        <sz val="10"/>
        <rFont val="Arial"/>
        <family val="2"/>
      </rPr>
      <t>(input cells are unshaded)</t>
    </r>
  </si>
  <si>
    <r>
      <t>Class/Group (</t>
    </r>
    <r>
      <rPr>
        <i/>
        <u val="single"/>
        <sz val="10"/>
        <rFont val="Arial"/>
        <family val="2"/>
      </rPr>
      <t>Pick first</t>
    </r>
    <r>
      <rPr>
        <u val="single"/>
        <sz val="11"/>
        <rFont val="Arial"/>
        <family val="2"/>
      </rPr>
      <t>)</t>
    </r>
  </si>
  <si>
    <r>
      <t>Alkalinity mg/L as CaCO</t>
    </r>
    <r>
      <rPr>
        <vertAlign val="subscript"/>
        <sz val="10"/>
        <rFont val="Arial"/>
        <family val="2"/>
      </rPr>
      <t>3</t>
    </r>
  </si>
  <si>
    <r>
      <t>Saturated zone f</t>
    </r>
    <r>
      <rPr>
        <vertAlign val="subscript"/>
        <sz val="10"/>
        <rFont val="Arial"/>
        <family val="2"/>
      </rPr>
      <t>oc</t>
    </r>
  </si>
  <si>
    <r>
      <t xml:space="preserve">Disruption of </t>
    </r>
    <r>
      <rPr>
        <i/>
        <u val="single"/>
        <sz val="10"/>
        <rFont val="Arial"/>
        <family val="2"/>
      </rPr>
      <t>surface</t>
    </r>
    <r>
      <rPr>
        <i/>
        <sz val="10"/>
        <rFont val="Arial"/>
        <family val="2"/>
      </rPr>
      <t xml:space="preserve"> activities overlying TTZ (buildings, active roads, restricted areas, etc)</t>
    </r>
  </si>
  <si>
    <r>
      <t xml:space="preserve">Disruption of </t>
    </r>
    <r>
      <rPr>
        <i/>
        <u val="single"/>
        <sz val="10"/>
        <rFont val="Arial"/>
        <family val="2"/>
      </rPr>
      <t>subsurface</t>
    </r>
    <r>
      <rPr>
        <i/>
        <sz val="10"/>
        <rFont val="Arial"/>
        <family val="2"/>
      </rPr>
      <t xml:space="preserve"> activities within TTZ (foundations, utilities, etc.)</t>
    </r>
  </si>
  <si>
    <r>
      <t xml:space="preserve">About This Workbook: </t>
    </r>
    <r>
      <rPr>
        <sz val="10"/>
        <rFont val="Arial"/>
        <family val="2"/>
      </rPr>
      <t>The ISCO Screening Tool was developed as a tool to assist those evaluating In Situ Chemical Oxidation as a potential technology.</t>
    </r>
  </si>
  <si>
    <r>
      <t>User Notes:</t>
    </r>
    <r>
      <rPr>
        <sz val="10"/>
        <rFont val="Arial"/>
        <family val="2"/>
      </rPr>
      <t xml:space="preserve">  The User Notes sheet provides general information and instructions for using the workbook.  Look around!  </t>
    </r>
  </si>
  <si>
    <r>
      <t>Output:</t>
    </r>
    <r>
      <rPr>
        <sz val="10"/>
        <rFont val="Arial"/>
        <family val="2"/>
      </rPr>
      <t xml:space="preserve">  This is where the data from the Entry sheet are turned into results to show the numerous combinations of oxidants, activation methods, distribution approaches and remedial goals to identify potential technologies for use at a site.
</t>
    </r>
  </si>
  <si>
    <t>Disruption of site surface activities</t>
  </si>
  <si>
    <t>Disruption of subsurface activities</t>
  </si>
  <si>
    <t>3. Site geochemistry parameters</t>
  </si>
  <si>
    <t>4. Aquifer hydrology parameters</t>
  </si>
  <si>
    <r>
      <t>Entry:</t>
    </r>
    <r>
      <rPr>
        <sz val="10"/>
        <rFont val="Arial"/>
        <family val="2"/>
      </rPr>
      <t xml:space="preserve">  The Entry sheet is the starting point for the workbook.  Users begin here by selecting site specific parameters from drop down menus which feed into the output report. </t>
    </r>
  </si>
  <si>
    <r>
      <t>Protection of the Workbook:</t>
    </r>
    <r>
      <rPr>
        <sz val="10"/>
        <rFont val="Arial"/>
        <family val="2"/>
      </rPr>
      <t xml:space="preserve">  The Output sheet of the workbook was protected to prevent accidental deletion of links and formulas.  Making alterations to the tool look-up sheets is described in the User's Manual. The Entry page is not protected.  Please </t>
    </r>
    <r>
      <rPr>
        <u val="single"/>
        <sz val="10"/>
        <rFont val="Arial"/>
        <family val="2"/>
      </rPr>
      <t>undo</t>
    </r>
    <r>
      <rPr>
        <sz val="10"/>
        <rFont val="Arial"/>
        <family val="2"/>
      </rPr>
      <t xml:space="preserve"> any accidental deletions of the user entry cells or comments or do not save changes before closing the workbook in order to reset the default entry cells.  Note: Deleting information in cells on the Entry page will result in run time errors.</t>
    </r>
  </si>
  <si>
    <t>Select from 5 classes of contaminants or choose None. To reset the class list, re-select it from here.</t>
  </si>
  <si>
    <t>Select from 5 classes of contaminants. To reset the class list, re-select it from here.</t>
  </si>
  <si>
    <r>
      <t>Step 8:</t>
    </r>
    <r>
      <rPr>
        <sz val="10"/>
        <rFont val="Arial"/>
        <family val="2"/>
      </rPr>
      <t xml:space="preserve"> View the results for 93 different combinations of oxidants, activation methods, and delivery techniques. Results are shown in a matrix (oxidant &amp; activation methods by delivery techniques) and color coded as follows Blue (Excellent), Green (Good), Yellow (Fair), Orange (Poor), and  Red (Not Recommended).  Black cells are permanent and represent combinations of oxidants and injection methods that are technically impractical due to the nature of the oxidant.  A numeric ranking is shown in parentheses, where #1 is the best scoring option and #93 is the worst. </t>
    </r>
  </si>
  <si>
    <t xml:space="preserve">Results are color coded as follows Blue (Excellent), Green (Good), Yellow (Fair), Orange (Poor), and  Red (Not Recommended). A numeric ranking is shown in parentheses, where #1 is the best scoring option and #93 is the worst. </t>
  </si>
  <si>
    <t>test</t>
  </si>
  <si>
    <t xml:space="preserve">Notes: </t>
  </si>
  <si>
    <t>Disclaimer</t>
  </si>
  <si>
    <t>Black cells represent combinations of oxidants and injection methods that are presently technically impractical for groundwater remediation</t>
  </si>
  <si>
    <t>No Activation 
(mineral catalysis)</t>
  </si>
  <si>
    <t>This tool was tested &amp; developed by CH2M HILL in Microsoft Excel 2003 on Windows XP Professional Version 5.1, Service Pack 2. No other versions of Excel or Windows have been tested. The file was automated using Visual Basic for Applications.</t>
  </si>
  <si>
    <r>
      <t>Step 6:</t>
    </r>
    <r>
      <rPr>
        <sz val="10"/>
        <rFont val="Arial"/>
        <family val="2"/>
      </rPr>
      <t xml:space="preserve"> Click on the Button at the top "</t>
    </r>
    <r>
      <rPr>
        <b/>
        <sz val="10"/>
        <rFont val="Arial"/>
        <family val="2"/>
      </rPr>
      <t>Go to Output Page</t>
    </r>
    <r>
      <rPr>
        <sz val="10"/>
        <rFont val="Arial"/>
        <family val="2"/>
      </rPr>
      <t>" to see output.  If the output page is selected without clicking on "Go to Output Page"  output page cells will not be color coded correctly.</t>
    </r>
  </si>
  <si>
    <r>
      <t xml:space="preserve">Step 5: </t>
    </r>
    <r>
      <rPr>
        <sz val="10"/>
        <rFont val="Arial"/>
        <family val="2"/>
      </rPr>
      <t>Select weighting factors for the various categories of criteria (must add to 100%).  Guidance on selecting default values is available within the screening protocol text.  Factors are divided into Effectiveness (i.e., Can you meet your goals?), Implementability (i.e., Can you do it given site characteristics?), and Amenability (is the oxidant effective for the COC s?).  Using a high value for amenability (e.g., 50% or more) is recommended.</t>
    </r>
  </si>
  <si>
    <t>PRv1 (Rev J 10/3/10)</t>
  </si>
  <si>
    <t>&gt;10-3 cm/sec (&gt;3 ft/day)</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</si>
</sst>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0.0%"/>
    <numFmt numFmtId="170" formatCode="[$-409]dddd\,\ mmmm\ dd\,\ yyyy"/>
    <numFmt numFmtId="171" formatCode="\7\7\4.0000"/>
    <numFmt numFmtId="172" formatCode="#,##0.0\);\(#,##0.0\)"/>
    <numFmt numFmtId="173" formatCode="#,##0.0;[Red]\(#,##0.0\)"/>
    <numFmt numFmtId="174" formatCode="0.0"/>
    <numFmt numFmtId="175" formatCode="0.000"/>
    <numFmt numFmtId="176" formatCode="0.0000"/>
    <numFmt numFmtId="177" formatCode="#,##0.0_);[Red]\(#,##0.0\)"/>
    <numFmt numFmtId="178" formatCode="&quot;$&quot;#,##0.0_);[Red]\(&quot;$&quot;#,##0.0\)"/>
    <numFmt numFmtId="179" formatCode="&quot;$&quot;#,##0.000_);[Red]\(&quot;$&quot;#,##0.000\)"/>
    <numFmt numFmtId="180" formatCode="&quot;$&quot;#,##0.0000_);[Red]\(&quot;$&quot;#,##0.0000\)"/>
    <numFmt numFmtId="181" formatCode="0."/>
    <numFmt numFmtId="182" formatCode="&quot;$&quot;0"/>
    <numFmt numFmtId="183" formatCode="&quot;$&quot;#,##0.0_);\(&quot;$&quot;#,##0.0\)"/>
    <numFmt numFmtId="184" formatCode="&quot;$&quot;#,##0.000_);\(&quot;$&quot;#,##0.000\)"/>
    <numFmt numFmtId="185" formatCode="&quot;$&quot;#,##0.0000_);\(&quot;$&quot;#,##0.0000\)"/>
    <numFmt numFmtId="186" formatCode="&quot;$&quot;#,##0.00000_);\(&quot;$&quot;#,##0.00000\)"/>
    <numFmt numFmtId="187" formatCode="&quot;$&quot;#,##0.000000_);\(&quot;$&quot;#,##0.000000\)"/>
    <numFmt numFmtId="188" formatCode="0.00000000"/>
    <numFmt numFmtId="189" formatCode="0_);\(0\)"/>
    <numFmt numFmtId="190" formatCode="#,##0.0_);\(#,##0.0\)"/>
    <numFmt numFmtId="191" formatCode="0.0_);\(0.0\)"/>
    <numFmt numFmtId="192" formatCode="&quot;$&quot;#,##0"/>
    <numFmt numFmtId="193" formatCode="0.000%"/>
    <numFmt numFmtId="194" formatCode="0.000000"/>
    <numFmt numFmtId="195" formatCode="m/yy"/>
    <numFmt numFmtId="196" formatCode="m/yyyy"/>
    <numFmt numFmtId="197" formatCode="#,##0.000_);[Red]\(#,##0.000\)"/>
  </numFmts>
  <fonts count="82">
    <font>
      <sz val="12"/>
      <name val="Book Antiqua"/>
      <family val="1"/>
    </font>
    <font>
      <sz val="10"/>
      <name val="Arial"/>
      <family val="0"/>
    </font>
    <font>
      <u val="single"/>
      <sz val="10"/>
      <color indexed="61"/>
      <name val="Verdana"/>
      <family val="2"/>
    </font>
    <font>
      <u val="single"/>
      <sz val="10"/>
      <color indexed="12"/>
      <name val="Verdana"/>
      <family val="2"/>
    </font>
    <font>
      <u val="single"/>
      <sz val="10"/>
      <color indexed="12"/>
      <name val="Arial"/>
      <family val="2"/>
    </font>
    <font>
      <sz val="8"/>
      <name val="Arial"/>
      <family val="2"/>
    </font>
    <font>
      <sz val="10"/>
      <name val="Comic Sans MS"/>
      <family val="4"/>
    </font>
    <font>
      <b/>
      <sz val="10"/>
      <name val="Comic Sans MS"/>
      <family val="4"/>
    </font>
    <font>
      <b/>
      <sz val="14"/>
      <name val="Comic Sans MS"/>
      <family val="4"/>
    </font>
    <font>
      <u val="single"/>
      <sz val="10"/>
      <color indexed="12"/>
      <name val="Comic Sans MS"/>
      <family val="4"/>
    </font>
    <font>
      <b/>
      <sz val="10"/>
      <name val="Arial"/>
      <family val="2"/>
    </font>
    <font>
      <sz val="10"/>
      <name val="Verdana"/>
      <family val="2"/>
    </font>
    <font>
      <sz val="8"/>
      <name val="Book Antiqua"/>
      <family val="1"/>
    </font>
    <font>
      <b/>
      <sz val="10"/>
      <name val="Verdana"/>
      <family val="2"/>
    </font>
    <font>
      <strike/>
      <sz val="10"/>
      <name val="Verdana"/>
      <family val="2"/>
    </font>
    <font>
      <sz val="9"/>
      <name val="Book Antiqua"/>
      <family val="1"/>
    </font>
    <font>
      <u val="single"/>
      <sz val="10"/>
      <name val="Verdana"/>
      <family val="2"/>
    </font>
    <font>
      <sz val="8"/>
      <name val="Verdana"/>
      <family val="2"/>
    </font>
    <font>
      <b/>
      <sz val="12"/>
      <name val="Arial"/>
      <family val="2"/>
    </font>
    <font>
      <b/>
      <sz val="8"/>
      <name val="Tahoma"/>
      <family val="2"/>
    </font>
    <font>
      <sz val="8"/>
      <name val="Tahoma"/>
      <family val="2"/>
    </font>
    <font>
      <u val="single"/>
      <sz val="12"/>
      <name val="Book Antiqua"/>
      <family val="1"/>
    </font>
    <font>
      <b/>
      <sz val="12"/>
      <name val="Book Antiqua"/>
      <family val="1"/>
    </font>
    <font>
      <sz val="12"/>
      <name val="Webdings"/>
      <family val="1"/>
    </font>
    <font>
      <b/>
      <sz val="9"/>
      <name val="Arial"/>
      <family val="2"/>
    </font>
    <font>
      <sz val="9"/>
      <name val="Arial"/>
      <family val="2"/>
    </font>
    <font>
      <u val="single"/>
      <sz val="10"/>
      <name val="Arial"/>
      <family val="2"/>
    </font>
    <font>
      <b/>
      <sz val="12"/>
      <name val="Verdana"/>
      <family val="2"/>
    </font>
    <font>
      <sz val="12"/>
      <name val="Verdana"/>
      <family val="2"/>
    </font>
    <font>
      <b/>
      <vertAlign val="subscript"/>
      <sz val="10"/>
      <name val="Verdana"/>
      <family val="2"/>
    </font>
    <font>
      <sz val="10"/>
      <name val="Symbol"/>
      <family val="1"/>
    </font>
    <font>
      <vertAlign val="subscript"/>
      <sz val="12"/>
      <name val="Book Antiqua"/>
      <family val="1"/>
    </font>
    <font>
      <sz val="12"/>
      <name val="Arial"/>
      <family val="2"/>
    </font>
    <font>
      <b/>
      <u val="single"/>
      <sz val="10"/>
      <name val="Verdana"/>
      <family val="2"/>
    </font>
    <font>
      <vertAlign val="superscript"/>
      <sz val="10"/>
      <name val="Verdana"/>
      <family val="2"/>
    </font>
    <font>
      <sz val="10"/>
      <color indexed="10"/>
      <name val="Arial"/>
      <family val="2"/>
    </font>
    <font>
      <b/>
      <sz val="24"/>
      <name val="Arial"/>
      <family val="2"/>
    </font>
    <font>
      <b/>
      <sz val="16"/>
      <name val="Verdana"/>
      <family val="2"/>
    </font>
    <font>
      <b/>
      <sz val="10"/>
      <color indexed="10"/>
      <name val="Arial"/>
      <family val="2"/>
    </font>
    <font>
      <b/>
      <sz val="13"/>
      <name val="Arial"/>
      <family val="2"/>
    </font>
    <font>
      <b/>
      <sz val="13"/>
      <name val="Verdana"/>
      <family val="2"/>
    </font>
    <font>
      <b/>
      <sz val="36"/>
      <name val="Verdana"/>
      <family val="2"/>
    </font>
    <font>
      <b/>
      <u val="single"/>
      <strike/>
      <sz val="10"/>
      <name val="Verdana"/>
      <family val="2"/>
    </font>
    <font>
      <i/>
      <sz val="8"/>
      <name val="Arial"/>
      <family val="2"/>
    </font>
    <font>
      <u val="single"/>
      <sz val="14"/>
      <name val="Verdana"/>
      <family val="2"/>
    </font>
    <font>
      <sz val="10"/>
      <color indexed="9"/>
      <name val="Verdana"/>
      <family val="2"/>
    </font>
    <font>
      <b/>
      <sz val="11"/>
      <name val="Arial"/>
      <family val="2"/>
    </font>
    <font>
      <b/>
      <sz val="11"/>
      <name val="Verdana"/>
      <family val="2"/>
    </font>
    <font>
      <b/>
      <sz val="14"/>
      <name val="Arial Rounded MT Bold"/>
      <family val="2"/>
    </font>
    <font>
      <b/>
      <u val="single"/>
      <sz val="14"/>
      <name val="Arial"/>
      <family val="2"/>
    </font>
    <font>
      <b/>
      <u val="single"/>
      <sz val="10"/>
      <name val="Arial"/>
      <family val="2"/>
    </font>
    <font>
      <strike/>
      <sz val="10"/>
      <name val="Arial"/>
      <family val="2"/>
    </font>
    <font>
      <strike/>
      <sz val="9"/>
      <name val="Arial"/>
      <family val="2"/>
    </font>
    <font>
      <i/>
      <strike/>
      <sz val="10"/>
      <name val="Arial"/>
      <family val="2"/>
    </font>
    <font>
      <i/>
      <sz val="10"/>
      <name val="Arial"/>
      <family val="2"/>
    </font>
    <font>
      <u val="single"/>
      <sz val="11"/>
      <name val="Arial"/>
      <family val="2"/>
    </font>
    <font>
      <i/>
      <u val="single"/>
      <sz val="10"/>
      <name val="Arial"/>
      <family val="2"/>
    </font>
    <font>
      <sz val="10"/>
      <color indexed="22"/>
      <name val="Arial"/>
      <family val="2"/>
    </font>
    <font>
      <sz val="9"/>
      <color indexed="22"/>
      <name val="Arial"/>
      <family val="2"/>
    </font>
    <font>
      <vertAlign val="subscript"/>
      <sz val="10"/>
      <name val="Arial"/>
      <family val="2"/>
    </font>
    <font>
      <b/>
      <sz val="14"/>
      <name val="Arial"/>
      <family val="2"/>
    </font>
    <font>
      <vertAlign val="superscript"/>
      <sz val="10"/>
      <name val="Arial"/>
      <family val="2"/>
    </font>
    <font>
      <b/>
      <sz val="18"/>
      <name val="Arial Rounded MT Bold"/>
      <family val="2"/>
    </font>
    <font>
      <sz val="9"/>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Book Antiqua"/>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9"/>
        <bgColor indexed="64"/>
      </patternFill>
    </fill>
    <fill>
      <patternFill patternType="solid">
        <fgColor indexed="8"/>
        <bgColor indexed="64"/>
      </patternFill>
    </fill>
    <fill>
      <patternFill patternType="lightGray">
        <fgColor indexed="9"/>
        <bgColor indexed="52"/>
      </patternFill>
    </fill>
    <fill>
      <patternFill patternType="solid">
        <fgColor indexed="15"/>
        <bgColor indexed="64"/>
      </patternFill>
    </fill>
    <fill>
      <patternFill patternType="solid">
        <fgColor indexed="11"/>
        <bgColor indexed="64"/>
      </patternFill>
    </fill>
    <fill>
      <patternFill patternType="solid">
        <fgColor indexed="52"/>
        <bgColor indexed="64"/>
      </patternFill>
    </fill>
    <fill>
      <patternFill patternType="solid">
        <fgColor indexed="13"/>
        <bgColor indexed="64"/>
      </patternFill>
    </fill>
    <fill>
      <patternFill patternType="solid">
        <fgColor indexed="13"/>
        <bgColor indexed="64"/>
      </patternFill>
    </fill>
    <fill>
      <patternFill patternType="solid">
        <fgColor indexed="9"/>
        <bgColor indexed="64"/>
      </patternFill>
    </fill>
    <fill>
      <patternFill patternType="solid">
        <fgColor indexed="15"/>
        <bgColor indexed="64"/>
      </patternFill>
    </fill>
    <fill>
      <patternFill patternType="solid">
        <fgColor indexed="11"/>
        <bgColor indexed="64"/>
      </patternFill>
    </fill>
  </fills>
  <borders count="1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double">
        <color indexed="29"/>
      </right>
      <top>
        <color indexed="63"/>
      </top>
      <bottom>
        <color indexed="63"/>
      </bottom>
    </border>
    <border>
      <left>
        <color indexed="63"/>
      </left>
      <right style="double">
        <color indexed="29"/>
      </right>
      <top style="thin">
        <color indexed="24"/>
      </top>
      <bottom style="thin">
        <color indexed="24"/>
      </bottom>
    </border>
    <border>
      <left>
        <color indexed="63"/>
      </left>
      <right>
        <color indexed="63"/>
      </right>
      <top style="thin">
        <color indexed="24"/>
      </top>
      <bottom style="thin">
        <color indexed="24"/>
      </bottom>
    </border>
    <border>
      <left style="thick"/>
      <right style="medium"/>
      <top style="thick"/>
      <bottom style="medium"/>
    </border>
    <border>
      <left>
        <color indexed="63"/>
      </left>
      <right>
        <color indexed="63"/>
      </right>
      <top>
        <color indexed="63"/>
      </top>
      <bottom style="medium"/>
    </border>
    <border>
      <left style="thick"/>
      <right style="medium"/>
      <top>
        <color indexed="63"/>
      </top>
      <bottom style="thick">
        <color indexed="8"/>
      </bottom>
    </border>
    <border>
      <left>
        <color indexed="63"/>
      </left>
      <right style="medium"/>
      <top>
        <color indexed="63"/>
      </top>
      <bottom>
        <color indexed="63"/>
      </bottom>
    </border>
    <border>
      <left>
        <color indexed="63"/>
      </left>
      <right style="medium"/>
      <top>
        <color indexed="63"/>
      </top>
      <bottom style="thick"/>
    </border>
    <border>
      <left>
        <color indexed="63"/>
      </left>
      <right style="thick"/>
      <top>
        <color indexed="63"/>
      </top>
      <bottom style="thick"/>
    </border>
    <border>
      <left style="thick"/>
      <right style="medium"/>
      <top>
        <color indexed="63"/>
      </top>
      <bottom style="medium"/>
    </border>
    <border>
      <left>
        <color indexed="63"/>
      </left>
      <right style="medium"/>
      <top>
        <color indexed="63"/>
      </top>
      <bottom style="medium"/>
    </border>
    <border>
      <left style="thin"/>
      <right style="thin"/>
      <top style="thin"/>
      <bottom style="thin"/>
    </border>
    <border>
      <left>
        <color indexed="63"/>
      </left>
      <right style="thick"/>
      <top>
        <color indexed="63"/>
      </top>
      <bottom style="medium"/>
    </border>
    <border>
      <left style="thick"/>
      <right style="medium"/>
      <top>
        <color indexed="63"/>
      </top>
      <bottom style="thick"/>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medium"/>
      <right style="medium"/>
      <top style="medium"/>
      <bottom style="thin"/>
    </border>
    <border>
      <left>
        <color indexed="63"/>
      </left>
      <right style="thin"/>
      <top>
        <color indexed="63"/>
      </top>
      <bottom style="thin"/>
    </border>
    <border>
      <left style="thin"/>
      <right style="medium"/>
      <top>
        <color indexed="63"/>
      </top>
      <bottom style="thin"/>
    </border>
    <border>
      <left style="medium"/>
      <right style="medium"/>
      <top style="thin"/>
      <bottom style="thin"/>
    </border>
    <border>
      <left>
        <color indexed="63"/>
      </left>
      <right style="thin"/>
      <top style="thin"/>
      <bottom style="thin"/>
    </border>
    <border>
      <left style="thin"/>
      <right style="medium"/>
      <top style="thin"/>
      <bottom style="thin"/>
    </border>
    <border>
      <left style="medium"/>
      <right style="medium"/>
      <top style="thin"/>
      <bottom style="medium"/>
    </border>
    <border>
      <left>
        <color indexed="63"/>
      </left>
      <right style="thin"/>
      <top style="thin"/>
      <bottom>
        <color indexed="63"/>
      </bottom>
    </border>
    <border>
      <left style="thin"/>
      <right style="medium"/>
      <top style="thin"/>
      <bottom>
        <color indexed="63"/>
      </bottom>
    </border>
    <border>
      <left>
        <color indexed="63"/>
      </left>
      <right style="thin"/>
      <top style="thin"/>
      <bottom style="medium"/>
    </border>
    <border>
      <left style="thin"/>
      <right style="medium"/>
      <top style="thin"/>
      <bottom style="medium"/>
    </border>
    <border>
      <left style="thin"/>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thin"/>
    </border>
    <border>
      <left style="medium"/>
      <right style="thin"/>
      <top style="medium"/>
      <bottom style="thin"/>
    </border>
    <border>
      <left style="thin"/>
      <right style="medium"/>
      <top style="medium"/>
      <bottom style="thin"/>
    </border>
    <border>
      <left style="thin"/>
      <right style="thin"/>
      <top style="medium"/>
      <bottom style="thin"/>
    </border>
    <border>
      <left style="thin"/>
      <right>
        <color indexed="63"/>
      </right>
      <top style="medium"/>
      <bottom style="thin"/>
    </border>
    <border>
      <left style="medium"/>
      <right>
        <color indexed="63"/>
      </right>
      <top>
        <color indexed="63"/>
      </top>
      <bottom>
        <color indexed="63"/>
      </bottom>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medium"/>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style="medium"/>
      <bottom style="medium"/>
    </border>
    <border>
      <left>
        <color indexed="63"/>
      </left>
      <right style="thin"/>
      <top style="medium"/>
      <bottom style="thin"/>
    </border>
    <border>
      <left style="thin"/>
      <right style="thin"/>
      <top>
        <color indexed="63"/>
      </top>
      <bottom style="thin"/>
    </border>
    <border>
      <left style="medium"/>
      <right style="thin"/>
      <top>
        <color indexed="63"/>
      </top>
      <bottom style="thin"/>
    </border>
    <border>
      <left style="thick"/>
      <right style="thick"/>
      <top>
        <color indexed="63"/>
      </top>
      <bottom>
        <color indexed="63"/>
      </bottom>
    </border>
    <border>
      <left style="medium"/>
      <right style="thin"/>
      <top style="medium"/>
      <bottom>
        <color indexed="63"/>
      </bottom>
    </border>
    <border>
      <left style="thin"/>
      <right style="thin"/>
      <top style="thin"/>
      <bottom>
        <color indexed="63"/>
      </bottom>
    </border>
    <border>
      <left style="medium"/>
      <right>
        <color indexed="63"/>
      </right>
      <top style="medium"/>
      <bottom style="medium"/>
    </border>
    <border>
      <left style="mediumDashed"/>
      <right style="mediumDashed"/>
      <top style="medium"/>
      <bottom>
        <color indexed="63"/>
      </bottom>
    </border>
    <border>
      <left style="medium"/>
      <right>
        <color indexed="63"/>
      </right>
      <top style="mediumDashed"/>
      <bottom style="mediumDashed"/>
    </border>
    <border>
      <left style="thin"/>
      <right style="thin"/>
      <top style="thick"/>
      <bottom style="thin"/>
    </border>
    <border>
      <left style="thin"/>
      <right style="thin"/>
      <top style="thin"/>
      <bottom style="thick"/>
    </border>
    <border>
      <left style="medium"/>
      <right style="medium"/>
      <top>
        <color indexed="63"/>
      </top>
      <bottom style="medium"/>
    </border>
    <border>
      <left>
        <color indexed="63"/>
      </left>
      <right>
        <color indexed="63"/>
      </right>
      <top style="medium"/>
      <bottom style="medium"/>
    </border>
    <border>
      <left>
        <color indexed="63"/>
      </left>
      <right>
        <color indexed="63"/>
      </right>
      <top style="medium"/>
      <bottom style="thin"/>
    </border>
    <border>
      <left>
        <color indexed="63"/>
      </left>
      <right>
        <color indexed="63"/>
      </right>
      <top style="thin"/>
      <bottom style="thin"/>
    </border>
    <border>
      <left style="thin"/>
      <right style="thin"/>
      <top>
        <color indexed="63"/>
      </top>
      <bottom style="medium"/>
    </border>
    <border>
      <left style="thin"/>
      <right style="thin"/>
      <top>
        <color indexed="63"/>
      </top>
      <bottom>
        <color indexed="63"/>
      </bottom>
    </border>
    <border>
      <left style="thin"/>
      <right>
        <color indexed="63"/>
      </right>
      <top style="medium"/>
      <bottom style="medium"/>
    </border>
    <border>
      <left style="medium"/>
      <right style="medium"/>
      <top>
        <color indexed="63"/>
      </top>
      <bottom>
        <color indexed="63"/>
      </bottom>
    </border>
    <border>
      <left style="medium"/>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ck"/>
      <top style="thin"/>
      <bottom style="thin"/>
    </border>
    <border>
      <left style="medium"/>
      <right style="thin"/>
      <top style="thin"/>
      <bottom>
        <color indexed="63"/>
      </bottom>
    </border>
    <border>
      <left>
        <color indexed="63"/>
      </left>
      <right style="double">
        <color indexed="29"/>
      </right>
      <top style="thin">
        <color indexed="24"/>
      </top>
      <bottom>
        <color indexed="63"/>
      </bottom>
    </border>
    <border>
      <left>
        <color indexed="63"/>
      </left>
      <right>
        <color indexed="63"/>
      </right>
      <top style="thin">
        <color indexed="24"/>
      </top>
      <bottom>
        <color indexed="63"/>
      </bottom>
    </border>
    <border>
      <left>
        <color indexed="63"/>
      </left>
      <right style="double">
        <color indexed="29"/>
      </right>
      <top>
        <color indexed="63"/>
      </top>
      <bottom style="thin">
        <color indexed="24"/>
      </bottom>
    </border>
    <border>
      <left>
        <color indexed="63"/>
      </left>
      <right>
        <color indexed="63"/>
      </right>
      <top>
        <color indexed="63"/>
      </top>
      <bottom style="thin">
        <color indexed="24"/>
      </bottom>
    </border>
    <border>
      <left style="thin">
        <color indexed="22"/>
      </left>
      <right style="thin">
        <color indexed="22"/>
      </right>
      <top>
        <color indexed="63"/>
      </top>
      <bottom style="thin">
        <color indexed="22"/>
      </bottom>
    </border>
    <border>
      <left style="thick"/>
      <right style="thin"/>
      <top style="thin"/>
      <bottom style="thin"/>
    </border>
    <border>
      <left>
        <color indexed="63"/>
      </left>
      <right style="medium"/>
      <top style="medium"/>
      <bottom>
        <color indexed="63"/>
      </bottom>
    </border>
    <border>
      <left>
        <color indexed="63"/>
      </left>
      <right>
        <color indexed="63"/>
      </right>
      <top style="medium"/>
      <bottom>
        <color indexed="63"/>
      </bottom>
    </border>
    <border>
      <left>
        <color indexed="63"/>
      </left>
      <right style="medium"/>
      <top style="medium"/>
      <bottom style="mediu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color indexed="63"/>
      </left>
      <right style="medium"/>
      <top style="medium"/>
      <bottom style="thin"/>
    </border>
    <border>
      <left style="medium"/>
      <right style="medium"/>
      <top style="medium"/>
      <bottom>
        <color indexed="63"/>
      </bottom>
    </border>
    <border>
      <left style="medium"/>
      <right>
        <color indexed="63"/>
      </right>
      <top style="thick">
        <color indexed="8"/>
      </top>
      <bottom style="medium"/>
    </border>
    <border>
      <left>
        <color indexed="63"/>
      </left>
      <right>
        <color indexed="63"/>
      </right>
      <top style="thick">
        <color indexed="8"/>
      </top>
      <bottom style="medium"/>
    </border>
    <border>
      <left>
        <color indexed="63"/>
      </left>
      <right style="medium"/>
      <top style="thick">
        <color indexed="8"/>
      </top>
      <bottom style="medium"/>
    </border>
    <border>
      <left>
        <color indexed="63"/>
      </left>
      <right style="thick">
        <color indexed="8"/>
      </right>
      <top style="thick">
        <color indexed="8"/>
      </top>
      <bottom style="medium"/>
    </border>
    <border>
      <left style="thick"/>
      <right>
        <color indexed="63"/>
      </right>
      <top style="thick"/>
      <bottom style="thick">
        <color indexed="8"/>
      </bottom>
    </border>
    <border>
      <left>
        <color indexed="63"/>
      </left>
      <right>
        <color indexed="63"/>
      </right>
      <top style="thick"/>
      <bottom style="thick">
        <color indexed="8"/>
      </bottom>
    </border>
    <border>
      <left>
        <color indexed="63"/>
      </left>
      <right style="thick">
        <color indexed="8"/>
      </right>
      <top style="thick"/>
      <bottom style="thick">
        <color indexed="8"/>
      </bottom>
    </border>
    <border>
      <left>
        <color indexed="63"/>
      </left>
      <right style="thick">
        <color indexed="8"/>
      </right>
      <top style="medium"/>
      <bottom style="medium"/>
    </border>
    <border>
      <left style="double">
        <color indexed="29"/>
      </left>
      <right>
        <color indexed="63"/>
      </right>
      <top>
        <color indexed="63"/>
      </top>
      <bottom>
        <color indexed="63"/>
      </bottom>
    </border>
    <border>
      <left style="medium"/>
      <right style="thin"/>
      <top>
        <color indexed="63"/>
      </top>
      <bottom style="medium"/>
    </border>
    <border>
      <left style="thin"/>
      <right style="thin"/>
      <top style="medium"/>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style="thick"/>
      <right style="thin"/>
      <top style="thick"/>
      <bottom style="thin"/>
    </border>
    <border>
      <left style="thin"/>
      <right style="thick"/>
      <top style="thick"/>
      <bottom style="thin"/>
    </border>
    <border>
      <left style="thin"/>
      <right style="thick"/>
      <top>
        <color indexed="63"/>
      </top>
      <bottom style="thin"/>
    </border>
    <border>
      <left style="thick"/>
      <right style="thin"/>
      <top style="thin"/>
      <bottom style="thick"/>
    </border>
    <border>
      <left style="thin"/>
      <right style="thick"/>
      <top style="thin"/>
      <bottom style="thick"/>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5" borderId="0" applyNumberFormat="0" applyBorder="0" applyAlignment="0" applyProtection="0"/>
    <xf numFmtId="0" fontId="64" fillId="8" borderId="0" applyNumberFormat="0" applyBorder="0" applyAlignment="0" applyProtection="0"/>
    <xf numFmtId="0" fontId="64" fillId="11" borderId="0" applyNumberFormat="0" applyBorder="0" applyAlignment="0" applyProtection="0"/>
    <xf numFmtId="0" fontId="65" fillId="12"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9" borderId="0" applyNumberFormat="0" applyBorder="0" applyAlignment="0" applyProtection="0"/>
    <xf numFmtId="0" fontId="66" fillId="3" borderId="0" applyNumberFormat="0" applyBorder="0" applyAlignment="0" applyProtection="0"/>
    <xf numFmtId="0" fontId="67" fillId="20" borderId="1" applyNumberFormat="0" applyAlignment="0" applyProtection="0"/>
    <xf numFmtId="0" fontId="68" fillId="21" borderId="2" applyNumberFormat="0" applyAlignment="0" applyProtection="0"/>
    <xf numFmtId="40" fontId="1" fillId="0" borderId="0" applyFont="0" applyFill="0" applyBorder="0" applyAlignment="0" applyProtection="0"/>
    <xf numFmtId="38" fontId="1" fillId="0" borderId="0" applyFont="0" applyFill="0" applyBorder="0" applyAlignment="0" applyProtection="0"/>
    <xf numFmtId="8" fontId="1" fillId="0" borderId="0" applyFont="0" applyFill="0" applyBorder="0" applyAlignment="0" applyProtection="0"/>
    <xf numFmtId="6" fontId="1" fillId="0" borderId="0" applyFont="0" applyFill="0" applyBorder="0" applyAlignment="0" applyProtection="0"/>
    <xf numFmtId="0" fontId="69" fillId="0" borderId="0" applyNumberFormat="0" applyFill="0" applyBorder="0" applyAlignment="0" applyProtection="0"/>
    <xf numFmtId="0" fontId="2" fillId="0" borderId="0" applyNumberFormat="0" applyFill="0" applyBorder="0" applyAlignment="0" applyProtection="0"/>
    <xf numFmtId="0" fontId="70" fillId="4"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74" fillId="7" borderId="1" applyNumberFormat="0" applyAlignment="0" applyProtection="0"/>
    <xf numFmtId="0" fontId="75" fillId="0" borderId="6" applyNumberFormat="0" applyFill="0" applyAlignment="0" applyProtection="0"/>
    <xf numFmtId="0" fontId="76" fillId="2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1" fillId="0" borderId="0">
      <alignment/>
      <protection/>
    </xf>
    <xf numFmtId="0" fontId="11" fillId="0" borderId="0">
      <alignment/>
      <protection/>
    </xf>
    <xf numFmtId="0" fontId="1" fillId="0" borderId="0">
      <alignment/>
      <protection/>
    </xf>
    <xf numFmtId="0" fontId="0" fillId="23" borderId="7" applyNumberFormat="0" applyFont="0" applyAlignment="0" applyProtection="0"/>
    <xf numFmtId="0" fontId="77" fillId="20" borderId="8" applyNumberFormat="0" applyAlignment="0" applyProtection="0"/>
    <xf numFmtId="9" fontId="1"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667">
    <xf numFmtId="0" fontId="0" fillId="0" borderId="0" xfId="0" applyAlignment="1">
      <alignment/>
    </xf>
    <xf numFmtId="0" fontId="6" fillId="22" borderId="10" xfId="58" applyFont="1" applyFill="1" applyBorder="1">
      <alignment/>
      <protection/>
    </xf>
    <xf numFmtId="0" fontId="1" fillId="0" borderId="0" xfId="58">
      <alignment/>
      <protection/>
    </xf>
    <xf numFmtId="0" fontId="6" fillId="22" borderId="11" xfId="58" applyFont="1" applyFill="1" applyBorder="1">
      <alignment/>
      <protection/>
    </xf>
    <xf numFmtId="0" fontId="8" fillId="22" borderId="12" xfId="58" applyFont="1" applyFill="1" applyBorder="1">
      <alignment/>
      <protection/>
    </xf>
    <xf numFmtId="0" fontId="6" fillId="22" borderId="12" xfId="58" applyFont="1" applyFill="1" applyBorder="1" applyAlignment="1">
      <alignment vertical="top" wrapText="1"/>
      <protection/>
    </xf>
    <xf numFmtId="0" fontId="7" fillId="22" borderId="12" xfId="58" applyFont="1" applyFill="1" applyBorder="1">
      <alignment/>
      <protection/>
    </xf>
    <xf numFmtId="0" fontId="9" fillId="22" borderId="12" xfId="54" applyFont="1" applyFill="1" applyBorder="1" applyAlignment="1" applyProtection="1">
      <alignment vertical="top" wrapText="1"/>
      <protection/>
    </xf>
    <xf numFmtId="0" fontId="7" fillId="22" borderId="12" xfId="58" applyFont="1" applyFill="1" applyBorder="1" applyAlignment="1">
      <alignment vertical="top" wrapText="1"/>
      <protection/>
    </xf>
    <xf numFmtId="0" fontId="10" fillId="0" borderId="0" xfId="58" applyFont="1">
      <alignment/>
      <protection/>
    </xf>
    <xf numFmtId="0" fontId="1" fillId="0" borderId="0" xfId="58" applyAlignment="1">
      <alignment vertical="top" wrapText="1"/>
      <protection/>
    </xf>
    <xf numFmtId="0" fontId="11" fillId="0" borderId="0" xfId="62" applyFont="1" applyBorder="1" applyAlignment="1">
      <alignment horizontal="center" vertical="center" wrapText="1"/>
      <protection/>
    </xf>
    <xf numFmtId="0" fontId="11" fillId="0" borderId="0" xfId="63" applyFont="1">
      <alignment/>
      <protection/>
    </xf>
    <xf numFmtId="0" fontId="10" fillId="0" borderId="13" xfId="63" applyFont="1" applyBorder="1" applyAlignment="1">
      <alignment wrapText="1"/>
      <protection/>
    </xf>
    <xf numFmtId="0" fontId="10" fillId="0" borderId="14" xfId="63" applyFont="1" applyBorder="1" applyAlignment="1">
      <alignment wrapText="1"/>
      <protection/>
    </xf>
    <xf numFmtId="0" fontId="11" fillId="0" borderId="0" xfId="63" applyFont="1" applyProtection="1">
      <alignment/>
      <protection hidden="1"/>
    </xf>
    <xf numFmtId="0" fontId="10" fillId="0" borderId="15" xfId="63" applyFont="1" applyBorder="1" applyAlignment="1">
      <alignment wrapText="1"/>
      <protection/>
    </xf>
    <xf numFmtId="0" fontId="10" fillId="0" borderId="16" xfId="63" applyFont="1" applyBorder="1" applyAlignment="1">
      <alignment wrapText="1"/>
      <protection/>
    </xf>
    <xf numFmtId="0" fontId="10" fillId="0" borderId="17" xfId="63" applyFont="1" applyBorder="1" applyAlignment="1">
      <alignment horizontal="center" wrapText="1"/>
      <protection/>
    </xf>
    <xf numFmtId="0" fontId="10" fillId="0" borderId="18" xfId="63" applyFont="1" applyBorder="1" applyAlignment="1">
      <alignment horizontal="center" wrapText="1"/>
      <protection/>
    </xf>
    <xf numFmtId="0" fontId="10" fillId="0" borderId="19" xfId="63" applyFont="1" applyBorder="1" applyAlignment="1">
      <alignment wrapText="1"/>
      <protection/>
    </xf>
    <xf numFmtId="0" fontId="10" fillId="0" borderId="20" xfId="63" applyFont="1" applyBorder="1" applyAlignment="1">
      <alignment wrapText="1"/>
      <protection/>
    </xf>
    <xf numFmtId="0" fontId="1" fillId="21" borderId="20" xfId="63" applyFont="1" applyFill="1" applyBorder="1" applyAlignment="1">
      <alignment horizontal="center" wrapText="1"/>
      <protection/>
    </xf>
    <xf numFmtId="0" fontId="1" fillId="21" borderId="14" xfId="63" applyFont="1" applyFill="1" applyBorder="1" applyAlignment="1">
      <alignment horizontal="center" wrapText="1"/>
      <protection/>
    </xf>
    <xf numFmtId="0" fontId="13" fillId="8" borderId="21" xfId="63" applyFont="1" applyFill="1" applyBorder="1" applyAlignment="1" applyProtection="1">
      <alignment horizontal="center"/>
      <protection hidden="1"/>
    </xf>
    <xf numFmtId="0" fontId="1" fillId="0" borderId="19" xfId="63" applyFont="1" applyBorder="1" applyAlignment="1">
      <alignment wrapText="1"/>
      <protection/>
    </xf>
    <xf numFmtId="0" fontId="1" fillId="0" borderId="20" xfId="63" applyFont="1" applyBorder="1" applyAlignment="1">
      <alignment wrapText="1"/>
      <protection/>
    </xf>
    <xf numFmtId="0" fontId="1" fillId="21" borderId="22" xfId="63" applyFont="1" applyFill="1" applyBorder="1" applyAlignment="1">
      <alignment horizontal="center" wrapText="1"/>
      <protection/>
    </xf>
    <xf numFmtId="0" fontId="1" fillId="0" borderId="23" xfId="63" applyFont="1" applyBorder="1" applyAlignment="1">
      <alignment wrapText="1"/>
      <protection/>
    </xf>
    <xf numFmtId="0" fontId="1" fillId="0" borderId="17" xfId="63" applyFont="1" applyBorder="1" applyAlignment="1">
      <alignment wrapText="1"/>
      <protection/>
    </xf>
    <xf numFmtId="0" fontId="1" fillId="0" borderId="15" xfId="63" applyFont="1" applyBorder="1" applyAlignment="1">
      <alignment wrapText="1"/>
      <protection/>
    </xf>
    <xf numFmtId="0" fontId="1" fillId="0" borderId="16" xfId="63" applyFont="1" applyBorder="1" applyAlignment="1">
      <alignment wrapText="1"/>
      <protection/>
    </xf>
    <xf numFmtId="0" fontId="0" fillId="0" borderId="0" xfId="0" applyAlignment="1" applyProtection="1">
      <alignment/>
      <protection hidden="1"/>
    </xf>
    <xf numFmtId="0" fontId="1" fillId="0" borderId="0" xfId="62" applyFont="1" applyAlignment="1">
      <alignment vertical="center" wrapText="1"/>
      <protection/>
    </xf>
    <xf numFmtId="0" fontId="1" fillId="0" borderId="0" xfId="62" applyFont="1" applyAlignment="1">
      <alignment horizontal="center" vertical="center" wrapText="1"/>
      <protection/>
    </xf>
    <xf numFmtId="0" fontId="11" fillId="0" borderId="0" xfId="0" applyFont="1" applyBorder="1" applyAlignment="1" applyProtection="1">
      <alignment horizontal="right" vertical="center"/>
      <protection hidden="1"/>
    </xf>
    <xf numFmtId="0" fontId="15" fillId="0" borderId="7" xfId="0" applyFont="1" applyBorder="1" applyAlignment="1" applyProtection="1">
      <alignment horizontal="center" vertical="top"/>
      <protection hidden="1" locked="0"/>
    </xf>
    <xf numFmtId="0" fontId="0" fillId="8" borderId="0" xfId="0" applyFill="1" applyAlignment="1" applyProtection="1">
      <alignment/>
      <protection hidden="1"/>
    </xf>
    <xf numFmtId="0" fontId="0" fillId="0" borderId="0" xfId="0" applyAlignment="1" applyProtection="1" quotePrefix="1">
      <alignment/>
      <protection hidden="1"/>
    </xf>
    <xf numFmtId="0" fontId="11" fillId="17" borderId="21" xfId="0" applyFont="1" applyFill="1" applyBorder="1" applyAlignment="1">
      <alignment horizontal="center" vertical="center" wrapText="1"/>
    </xf>
    <xf numFmtId="0" fontId="11" fillId="15" borderId="21" xfId="0" applyFont="1" applyFill="1" applyBorder="1" applyAlignment="1">
      <alignment horizontal="center" vertical="center" wrapText="1"/>
    </xf>
    <xf numFmtId="0" fontId="11" fillId="24" borderId="21" xfId="0" applyFont="1" applyFill="1" applyBorder="1" applyAlignment="1">
      <alignment horizontal="center" vertical="center" wrapText="1"/>
    </xf>
    <xf numFmtId="0" fontId="11" fillId="10" borderId="21" xfId="0" applyFont="1" applyFill="1" applyBorder="1" applyAlignment="1">
      <alignment horizontal="center" vertical="center" wrapText="1"/>
    </xf>
    <xf numFmtId="0" fontId="11" fillId="25" borderId="21" xfId="0" applyFont="1" applyFill="1" applyBorder="1" applyAlignment="1">
      <alignment horizontal="center" vertical="center" wrapText="1"/>
    </xf>
    <xf numFmtId="0" fontId="21" fillId="0" borderId="0" xfId="0" applyFont="1" applyAlignment="1">
      <alignment horizontal="center"/>
    </xf>
    <xf numFmtId="0" fontId="11" fillId="0" borderId="0" xfId="0" applyFont="1" applyBorder="1" applyAlignment="1">
      <alignment horizontal="right"/>
    </xf>
    <xf numFmtId="0" fontId="11" fillId="0" borderId="0" xfId="0" applyFont="1" applyFill="1" applyBorder="1" applyAlignment="1">
      <alignment horizontal="right"/>
    </xf>
    <xf numFmtId="0" fontId="0" fillId="0" borderId="0" xfId="0" applyAlignment="1">
      <alignment horizontal="center"/>
    </xf>
    <xf numFmtId="0" fontId="22" fillId="0" borderId="0" xfId="0" applyFont="1" applyAlignment="1">
      <alignment/>
    </xf>
    <xf numFmtId="0" fontId="23" fillId="0" borderId="0" xfId="0" applyFont="1" applyAlignment="1">
      <alignment horizontal="center"/>
    </xf>
    <xf numFmtId="0" fontId="18" fillId="0" borderId="24" xfId="60" applyFont="1" applyBorder="1" applyAlignment="1">
      <alignment vertical="center" wrapText="1"/>
      <protection/>
    </xf>
    <xf numFmtId="0" fontId="18" fillId="0" borderId="25" xfId="60" applyFont="1" applyBorder="1" applyAlignment="1">
      <alignment horizontal="center" vertical="center" wrapText="1"/>
      <protection/>
    </xf>
    <xf numFmtId="0" fontId="18" fillId="0" borderId="26" xfId="60" applyFont="1" applyBorder="1" applyAlignment="1">
      <alignment horizontal="center" vertical="center" wrapText="1"/>
      <protection/>
    </xf>
    <xf numFmtId="0" fontId="1" fillId="0" borderId="0" xfId="60" applyAlignment="1">
      <alignment vertical="center" wrapText="1"/>
      <protection/>
    </xf>
    <xf numFmtId="0" fontId="5" fillId="0" borderId="27" xfId="60" applyFont="1" applyBorder="1" applyAlignment="1">
      <alignment vertical="center" wrapText="1"/>
      <protection/>
    </xf>
    <xf numFmtId="0" fontId="5" fillId="24" borderId="28" xfId="60" applyFont="1" applyFill="1" applyBorder="1" applyAlignment="1">
      <alignment horizontal="center" vertical="center" wrapText="1"/>
      <protection/>
    </xf>
    <xf numFmtId="0" fontId="5" fillId="10" borderId="29" xfId="60" applyFont="1" applyFill="1" applyBorder="1" applyAlignment="1">
      <alignment horizontal="center" vertical="center" wrapText="1"/>
      <protection/>
    </xf>
    <xf numFmtId="0" fontId="5" fillId="0" borderId="30" xfId="60" applyFont="1" applyBorder="1" applyAlignment="1">
      <alignment vertical="center" wrapText="1"/>
      <protection/>
    </xf>
    <xf numFmtId="0" fontId="5" fillId="15" borderId="31" xfId="60" applyFont="1" applyFill="1" applyBorder="1" applyAlignment="1">
      <alignment horizontal="center" vertical="center" wrapText="1"/>
      <protection/>
    </xf>
    <xf numFmtId="0" fontId="5" fillId="24" borderId="32" xfId="60" applyFont="1" applyFill="1" applyBorder="1" applyAlignment="1">
      <alignment horizontal="center" vertical="center" wrapText="1"/>
      <protection/>
    </xf>
    <xf numFmtId="0" fontId="5" fillId="10" borderId="31" xfId="60" applyFont="1" applyFill="1" applyBorder="1" applyAlignment="1">
      <alignment horizontal="center" vertical="center" wrapText="1"/>
      <protection/>
    </xf>
    <xf numFmtId="0" fontId="5" fillId="10" borderId="32" xfId="60" applyFont="1" applyFill="1" applyBorder="1" applyAlignment="1">
      <alignment horizontal="center" vertical="center" wrapText="1"/>
      <protection/>
    </xf>
    <xf numFmtId="0" fontId="5" fillId="17" borderId="31" xfId="60" applyFont="1" applyFill="1" applyBorder="1" applyAlignment="1">
      <alignment horizontal="center" vertical="center" wrapText="1"/>
      <protection/>
    </xf>
    <xf numFmtId="0" fontId="5" fillId="17" borderId="32" xfId="60" applyFont="1" applyFill="1" applyBorder="1" applyAlignment="1">
      <alignment horizontal="center" vertical="center" wrapText="1"/>
      <protection/>
    </xf>
    <xf numFmtId="0" fontId="5" fillId="0" borderId="33" xfId="60" applyFont="1" applyBorder="1" applyAlignment="1">
      <alignment vertical="center" wrapText="1"/>
      <protection/>
    </xf>
    <xf numFmtId="0" fontId="5" fillId="17" borderId="34" xfId="60" applyFont="1" applyFill="1" applyBorder="1" applyAlignment="1">
      <alignment horizontal="center" vertical="center" wrapText="1"/>
      <protection/>
    </xf>
    <xf numFmtId="0" fontId="5" fillId="17" borderId="35" xfId="60" applyFont="1" applyFill="1" applyBorder="1" applyAlignment="1">
      <alignment horizontal="center" vertical="center" wrapText="1"/>
      <protection/>
    </xf>
    <xf numFmtId="0" fontId="5" fillId="17" borderId="28" xfId="60" applyFont="1" applyFill="1" applyBorder="1" applyAlignment="1">
      <alignment horizontal="center" vertical="center" wrapText="1"/>
      <protection/>
    </xf>
    <xf numFmtId="0" fontId="5" fillId="25" borderId="29" xfId="60" applyFont="1" applyFill="1" applyBorder="1" applyAlignment="1">
      <alignment horizontal="center" vertical="center" wrapText="1"/>
      <protection/>
    </xf>
    <xf numFmtId="0" fontId="5" fillId="25" borderId="32" xfId="60" applyFont="1" applyFill="1" applyBorder="1" applyAlignment="1">
      <alignment horizontal="center" vertical="center" wrapText="1"/>
      <protection/>
    </xf>
    <xf numFmtId="0" fontId="5" fillId="24" borderId="35" xfId="60" applyFont="1" applyFill="1" applyBorder="1" applyAlignment="1">
      <alignment horizontal="center" vertical="center" wrapText="1"/>
      <protection/>
    </xf>
    <xf numFmtId="0" fontId="5" fillId="25" borderId="28" xfId="60" applyFont="1" applyFill="1" applyBorder="1" applyAlignment="1">
      <alignment horizontal="center" vertical="center" wrapText="1"/>
      <protection/>
    </xf>
    <xf numFmtId="0" fontId="5" fillId="25" borderId="31" xfId="60" applyFont="1" applyFill="1" applyBorder="1" applyAlignment="1">
      <alignment horizontal="center" vertical="center" wrapText="1"/>
      <protection/>
    </xf>
    <xf numFmtId="0" fontId="5" fillId="15" borderId="32" xfId="60" applyFont="1" applyFill="1" applyBorder="1" applyAlignment="1">
      <alignment horizontal="center" vertical="center" wrapText="1"/>
      <protection/>
    </xf>
    <xf numFmtId="0" fontId="5" fillId="10" borderId="34" xfId="60" applyFont="1" applyFill="1" applyBorder="1" applyAlignment="1">
      <alignment horizontal="center" vertical="center" wrapText="1"/>
      <protection/>
    </xf>
    <xf numFmtId="0" fontId="5" fillId="10" borderId="35" xfId="60" applyFont="1" applyFill="1" applyBorder="1" applyAlignment="1">
      <alignment horizontal="center" vertical="center" wrapText="1"/>
      <protection/>
    </xf>
    <xf numFmtId="0" fontId="25" fillId="0" borderId="0" xfId="60" applyFont="1" applyAlignment="1">
      <alignment vertical="center" wrapText="1"/>
      <protection/>
    </xf>
    <xf numFmtId="0" fontId="5" fillId="10" borderId="28" xfId="60" applyFont="1" applyFill="1" applyBorder="1" applyAlignment="1">
      <alignment horizontal="center" vertical="center" wrapText="1"/>
      <protection/>
    </xf>
    <xf numFmtId="0" fontId="5" fillId="24" borderId="31" xfId="60" applyFont="1" applyFill="1" applyBorder="1" applyAlignment="1">
      <alignment horizontal="center" vertical="center" wrapText="1"/>
      <protection/>
    </xf>
    <xf numFmtId="0" fontId="5" fillId="10" borderId="36" xfId="60" applyFont="1" applyFill="1" applyBorder="1" applyAlignment="1">
      <alignment horizontal="center" vertical="center" wrapText="1"/>
      <protection/>
    </xf>
    <xf numFmtId="0" fontId="5" fillId="10" borderId="37" xfId="60" applyFont="1" applyFill="1" applyBorder="1" applyAlignment="1">
      <alignment horizontal="center" vertical="center" wrapText="1"/>
      <protection/>
    </xf>
    <xf numFmtId="0" fontId="5" fillId="0" borderId="0" xfId="60" applyFont="1" applyAlignment="1">
      <alignment vertical="center" wrapText="1"/>
      <protection/>
    </xf>
    <xf numFmtId="0" fontId="5" fillId="0" borderId="0" xfId="60" applyFont="1" applyAlignment="1">
      <alignment horizontal="left" vertical="center"/>
      <protection/>
    </xf>
    <xf numFmtId="0" fontId="5" fillId="0" borderId="0" xfId="60" applyFont="1" applyAlignment="1">
      <alignment horizontal="center" vertical="center" wrapText="1"/>
      <protection/>
    </xf>
    <xf numFmtId="0" fontId="5" fillId="0" borderId="0" xfId="60" applyFont="1" applyAlignment="1" applyProtection="1">
      <alignment vertical="center" wrapText="1"/>
      <protection hidden="1"/>
    </xf>
    <xf numFmtId="0" fontId="5" fillId="0" borderId="0" xfId="60" applyFont="1" applyAlignment="1" applyProtection="1">
      <alignment horizontal="center" vertical="center" wrapText="1"/>
      <protection hidden="1"/>
    </xf>
    <xf numFmtId="0" fontId="1" fillId="0" borderId="0" xfId="60" applyAlignment="1" applyProtection="1">
      <alignment vertical="center" wrapText="1"/>
      <protection hidden="1"/>
    </xf>
    <xf numFmtId="0" fontId="10" fillId="0" borderId="38" xfId="60" applyFont="1" applyBorder="1" applyAlignment="1" applyProtection="1">
      <alignment horizontal="center" vertical="center" wrapText="1"/>
      <protection hidden="1"/>
    </xf>
    <xf numFmtId="0" fontId="10" fillId="0" borderId="0" xfId="60" applyFont="1" applyAlignment="1" applyProtection="1">
      <alignment horizontal="center" vertical="center" wrapText="1"/>
      <protection hidden="1"/>
    </xf>
    <xf numFmtId="0" fontId="11" fillId="0" borderId="0" xfId="62" applyFont="1" applyAlignment="1">
      <alignment horizontal="center" vertical="center" wrapText="1"/>
      <protection/>
    </xf>
    <xf numFmtId="0" fontId="1" fillId="0" borderId="0" xfId="60" applyAlignment="1" applyProtection="1">
      <alignment horizontal="center" vertical="center" wrapText="1"/>
      <protection hidden="1"/>
    </xf>
    <xf numFmtId="0" fontId="1" fillId="0" borderId="38" xfId="60" applyFont="1" applyBorder="1" applyAlignment="1" applyProtection="1">
      <alignment vertical="center" wrapText="1"/>
      <protection hidden="1"/>
    </xf>
    <xf numFmtId="0" fontId="1" fillId="0" borderId="0" xfId="60" applyFont="1" applyAlignment="1" applyProtection="1">
      <alignment vertical="center"/>
      <protection hidden="1"/>
    </xf>
    <xf numFmtId="0" fontId="1" fillId="0" borderId="0" xfId="60" applyAlignment="1">
      <alignment horizontal="center" vertical="center" wrapText="1"/>
      <protection/>
    </xf>
    <xf numFmtId="0" fontId="27" fillId="0" borderId="39" xfId="62" applyFont="1" applyBorder="1" applyAlignment="1">
      <alignment horizontal="center" vertical="center" wrapText="1"/>
      <protection/>
    </xf>
    <xf numFmtId="0" fontId="28" fillId="0" borderId="0" xfId="62" applyFont="1" applyAlignment="1">
      <alignment vertical="center"/>
      <protection/>
    </xf>
    <xf numFmtId="0" fontId="27" fillId="0" borderId="40" xfId="62" applyFont="1" applyBorder="1" applyAlignment="1">
      <alignment horizontal="center" vertical="center" wrapText="1"/>
      <protection/>
    </xf>
    <xf numFmtId="0" fontId="13" fillId="0" borderId="40" xfId="62" applyFont="1" applyBorder="1" applyAlignment="1">
      <alignment horizontal="center" vertical="center"/>
      <protection/>
    </xf>
    <xf numFmtId="0" fontId="13" fillId="0" borderId="20" xfId="62" applyFont="1" applyBorder="1" applyAlignment="1">
      <alignment horizontal="center" vertical="center" wrapText="1"/>
      <protection/>
    </xf>
    <xf numFmtId="0" fontId="13" fillId="0" borderId="40" xfId="62" applyFont="1" applyBorder="1" applyAlignment="1">
      <alignment horizontal="center" vertical="center" wrapText="1"/>
      <protection/>
    </xf>
    <xf numFmtId="0" fontId="13" fillId="0" borderId="14" xfId="62" applyFont="1" applyBorder="1" applyAlignment="1">
      <alignment horizontal="center" vertical="center" wrapText="1"/>
      <protection/>
    </xf>
    <xf numFmtId="0" fontId="13" fillId="0" borderId="14" xfId="0" applyFont="1" applyBorder="1" applyAlignment="1">
      <alignment horizontal="center" vertical="center" wrapText="1"/>
    </xf>
    <xf numFmtId="0" fontId="11" fillId="0" borderId="0" xfId="62" applyAlignment="1">
      <alignment vertical="center"/>
      <protection/>
    </xf>
    <xf numFmtId="49" fontId="13" fillId="0" borderId="41" xfId="62" applyNumberFormat="1" applyFont="1" applyBorder="1" applyAlignment="1">
      <alignment horizontal="center" vertical="center" wrapText="1"/>
      <protection/>
    </xf>
    <xf numFmtId="0" fontId="11" fillId="0" borderId="27" xfId="62" applyBorder="1" applyAlignment="1">
      <alignment horizontal="center" vertical="center"/>
      <protection/>
    </xf>
    <xf numFmtId="0" fontId="11" fillId="0" borderId="42" xfId="62" applyBorder="1" applyAlignment="1">
      <alignment horizontal="center" vertical="center"/>
      <protection/>
    </xf>
    <xf numFmtId="0" fontId="11" fillId="0" borderId="43" xfId="62" applyBorder="1" applyAlignment="1">
      <alignment horizontal="center" vertical="center"/>
      <protection/>
    </xf>
    <xf numFmtId="0" fontId="11" fillId="0" borderId="44" xfId="62" applyBorder="1" applyAlignment="1">
      <alignment horizontal="center" vertical="center"/>
      <protection/>
    </xf>
    <xf numFmtId="0" fontId="0" fillId="0" borderId="45" xfId="0" applyBorder="1" applyAlignment="1">
      <alignment horizontal="center" vertical="center"/>
    </xf>
    <xf numFmtId="49" fontId="11" fillId="0" borderId="46" xfId="62" applyNumberFormat="1" applyFont="1" applyBorder="1" applyAlignment="1">
      <alignment horizontal="center" vertical="center" wrapText="1"/>
      <protection/>
    </xf>
    <xf numFmtId="0" fontId="11" fillId="0" borderId="30" xfId="62" applyBorder="1" applyAlignment="1">
      <alignment horizontal="center" vertical="center" wrapText="1"/>
      <protection/>
    </xf>
    <xf numFmtId="0" fontId="11" fillId="0" borderId="47" xfId="62" applyBorder="1" applyAlignment="1">
      <alignment horizontal="center" vertical="center" wrapText="1"/>
      <protection/>
    </xf>
    <xf numFmtId="0" fontId="11" fillId="0" borderId="32" xfId="62" applyBorder="1" applyAlignment="1">
      <alignment horizontal="center" vertical="center" wrapText="1"/>
      <protection/>
    </xf>
    <xf numFmtId="0" fontId="11" fillId="0" borderId="21" xfId="62" applyBorder="1" applyAlignment="1">
      <alignment horizontal="center" vertical="center" wrapText="1"/>
      <protection/>
    </xf>
    <xf numFmtId="49" fontId="11" fillId="0" borderId="40" xfId="62" applyNumberFormat="1" applyFont="1" applyBorder="1" applyAlignment="1">
      <alignment horizontal="center" vertical="center" wrapText="1"/>
      <protection/>
    </xf>
    <xf numFmtId="0" fontId="11" fillId="0" borderId="33" xfId="62" applyFont="1" applyBorder="1" applyAlignment="1">
      <alignment horizontal="center" vertical="center" wrapText="1"/>
      <protection/>
    </xf>
    <xf numFmtId="0" fontId="11" fillId="0" borderId="44" xfId="62" applyFill="1" applyBorder="1" applyAlignment="1">
      <alignment horizontal="center" vertical="center"/>
      <protection/>
    </xf>
    <xf numFmtId="49" fontId="11" fillId="0" borderId="46" xfId="62" applyNumberFormat="1" applyBorder="1" applyAlignment="1">
      <alignment horizontal="center" vertical="center" wrapText="1"/>
      <protection/>
    </xf>
    <xf numFmtId="0" fontId="0" fillId="25" borderId="30" xfId="0" applyFill="1" applyBorder="1" applyAlignment="1">
      <alignment horizontal="center" vertical="center"/>
    </xf>
    <xf numFmtId="0" fontId="0" fillId="25" borderId="47" xfId="0" applyFill="1" applyBorder="1" applyAlignment="1">
      <alignment horizontal="center" vertical="center"/>
    </xf>
    <xf numFmtId="0" fontId="0" fillId="25" borderId="32" xfId="0" applyFill="1" applyBorder="1" applyAlignment="1">
      <alignment horizontal="center" vertical="center"/>
    </xf>
    <xf numFmtId="0" fontId="0" fillId="25" borderId="21" xfId="0" applyFill="1" applyBorder="1" applyAlignment="1">
      <alignment horizontal="center" vertical="center"/>
    </xf>
    <xf numFmtId="0" fontId="0" fillId="25" borderId="48" xfId="0" applyFill="1" applyBorder="1" applyAlignment="1">
      <alignment horizontal="center" vertical="center"/>
    </xf>
    <xf numFmtId="0" fontId="0" fillId="15" borderId="47" xfId="0" applyFill="1" applyBorder="1" applyAlignment="1">
      <alignment horizontal="center" vertical="center"/>
    </xf>
    <xf numFmtId="0" fontId="0" fillId="10" borderId="21" xfId="0" applyFill="1" applyBorder="1" applyAlignment="1">
      <alignment horizontal="center" vertical="center"/>
    </xf>
    <xf numFmtId="0" fontId="0" fillId="10" borderId="32" xfId="0" applyFill="1" applyBorder="1" applyAlignment="1">
      <alignment horizontal="center" vertical="center"/>
    </xf>
    <xf numFmtId="0" fontId="0" fillId="24" borderId="47" xfId="0" applyFill="1" applyBorder="1" applyAlignment="1">
      <alignment horizontal="center" vertical="center"/>
    </xf>
    <xf numFmtId="0" fontId="0" fillId="10" borderId="47" xfId="0" applyFill="1" applyBorder="1" applyAlignment="1">
      <alignment horizontal="center" vertical="center"/>
    </xf>
    <xf numFmtId="0" fontId="0" fillId="24" borderId="21" xfId="0" applyFill="1" applyBorder="1" applyAlignment="1">
      <alignment horizontal="center" vertical="center"/>
    </xf>
    <xf numFmtId="0" fontId="0" fillId="24" borderId="32" xfId="0" applyFill="1" applyBorder="1" applyAlignment="1">
      <alignment horizontal="center" vertical="center"/>
    </xf>
    <xf numFmtId="0" fontId="0" fillId="10" borderId="48" xfId="0" applyFill="1" applyBorder="1" applyAlignment="1">
      <alignment horizontal="center" vertical="center"/>
    </xf>
    <xf numFmtId="0" fontId="0" fillId="15" borderId="21" xfId="0" applyFill="1" applyBorder="1" applyAlignment="1">
      <alignment horizontal="center" vertical="center"/>
    </xf>
    <xf numFmtId="0" fontId="0" fillId="15" borderId="32" xfId="0" applyFill="1" applyBorder="1" applyAlignment="1">
      <alignment horizontal="center" vertical="center"/>
    </xf>
    <xf numFmtId="0" fontId="0" fillId="24" borderId="48" xfId="0" applyFill="1" applyBorder="1" applyAlignment="1">
      <alignment horizontal="center" vertical="center"/>
    </xf>
    <xf numFmtId="49" fontId="11" fillId="0" borderId="40" xfId="62" applyNumberFormat="1" applyBorder="1" applyAlignment="1">
      <alignment horizontal="center" vertical="center" wrapText="1"/>
      <protection/>
    </xf>
    <xf numFmtId="0" fontId="0" fillId="10" borderId="33" xfId="0" applyFill="1" applyBorder="1" applyAlignment="1">
      <alignment horizontal="center" vertical="center"/>
    </xf>
    <xf numFmtId="0" fontId="0" fillId="24" borderId="49" xfId="0" applyFill="1" applyBorder="1" applyAlignment="1">
      <alignment horizontal="center" vertical="center"/>
    </xf>
    <xf numFmtId="0" fontId="0" fillId="15" borderId="37" xfId="0" applyFill="1" applyBorder="1" applyAlignment="1">
      <alignment horizontal="center" vertical="center"/>
    </xf>
    <xf numFmtId="0" fontId="0" fillId="15" borderId="49" xfId="0" applyFill="1" applyBorder="1" applyAlignment="1">
      <alignment horizontal="center" vertical="center"/>
    </xf>
    <xf numFmtId="0" fontId="0" fillId="25" borderId="49" xfId="0" applyFill="1" applyBorder="1" applyAlignment="1">
      <alignment horizontal="center" vertical="center"/>
    </xf>
    <xf numFmtId="0" fontId="0" fillId="24" borderId="50" xfId="0" applyFill="1" applyBorder="1" applyAlignment="1">
      <alignment horizontal="center" vertical="center"/>
    </xf>
    <xf numFmtId="0" fontId="0" fillId="15" borderId="50" xfId="0" applyFill="1" applyBorder="1" applyAlignment="1">
      <alignment horizontal="center" vertical="center"/>
    </xf>
    <xf numFmtId="0" fontId="0" fillId="15" borderId="51" xfId="0" applyFill="1" applyBorder="1" applyAlignment="1">
      <alignment horizontal="center" vertical="center"/>
    </xf>
    <xf numFmtId="0" fontId="0" fillId="0" borderId="27"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Fill="1" applyBorder="1" applyAlignment="1">
      <alignment horizontal="center" vertical="center"/>
    </xf>
    <xf numFmtId="0" fontId="0" fillId="0" borderId="44" xfId="0" applyBorder="1" applyAlignment="1">
      <alignment horizontal="center" vertical="center"/>
    </xf>
    <xf numFmtId="0" fontId="0" fillId="25" borderId="33" xfId="0" applyFill="1" applyBorder="1" applyAlignment="1">
      <alignment horizontal="center" vertical="center"/>
    </xf>
    <xf numFmtId="0" fontId="0" fillId="10" borderId="49" xfId="0" applyFill="1" applyBorder="1" applyAlignment="1">
      <alignment horizontal="center" vertical="center"/>
    </xf>
    <xf numFmtId="0" fontId="0" fillId="24" borderId="37" xfId="0" applyFill="1" applyBorder="1" applyAlignment="1">
      <alignment horizontal="center" vertical="center"/>
    </xf>
    <xf numFmtId="0" fontId="0" fillId="24" borderId="51" xfId="0" applyFill="1" applyBorder="1" applyAlignment="1">
      <alignment horizontal="center" vertical="center"/>
    </xf>
    <xf numFmtId="0" fontId="13" fillId="0" borderId="41" xfId="62" applyFont="1" applyBorder="1" applyAlignment="1">
      <alignment horizontal="center" vertical="center" wrapText="1"/>
      <protection/>
    </xf>
    <xf numFmtId="0" fontId="0" fillId="17" borderId="30" xfId="0" applyFill="1" applyBorder="1" applyAlignment="1">
      <alignment horizontal="center" vertical="center"/>
    </xf>
    <xf numFmtId="0" fontId="0" fillId="15" borderId="48" xfId="0" applyFill="1" applyBorder="1" applyAlignment="1">
      <alignment horizontal="center" vertical="center"/>
    </xf>
    <xf numFmtId="0" fontId="0" fillId="15" borderId="30" xfId="0" applyFill="1" applyBorder="1" applyAlignment="1">
      <alignment horizontal="center" vertical="center"/>
    </xf>
    <xf numFmtId="0" fontId="0" fillId="10" borderId="30" xfId="0" applyFill="1" applyBorder="1" applyAlignment="1">
      <alignment horizontal="center" vertical="center"/>
    </xf>
    <xf numFmtId="0" fontId="0" fillId="25" borderId="37" xfId="0" applyFill="1" applyBorder="1" applyAlignment="1">
      <alignment horizontal="center" vertical="center"/>
    </xf>
    <xf numFmtId="0" fontId="0" fillId="25" borderId="50" xfId="0" applyFill="1" applyBorder="1" applyAlignment="1">
      <alignment horizontal="center" vertical="center"/>
    </xf>
    <xf numFmtId="0" fontId="0" fillId="25" borderId="51" xfId="0" applyFill="1" applyBorder="1" applyAlignment="1">
      <alignment horizontal="center" vertical="center"/>
    </xf>
    <xf numFmtId="0" fontId="11" fillId="0" borderId="46" xfId="62" applyFont="1" applyBorder="1" applyAlignment="1">
      <alignment horizontal="center" vertical="center" wrapText="1"/>
      <protection/>
    </xf>
    <xf numFmtId="0" fontId="11" fillId="0" borderId="46" xfId="62" applyBorder="1" applyAlignment="1">
      <alignment horizontal="center" vertical="center" wrapText="1"/>
      <protection/>
    </xf>
    <xf numFmtId="0" fontId="11" fillId="0" borderId="40" xfId="62" applyBorder="1" applyAlignment="1">
      <alignment horizontal="center" vertical="center" wrapText="1"/>
      <protection/>
    </xf>
    <xf numFmtId="0" fontId="0" fillId="10" borderId="50" xfId="0" applyFill="1" applyBorder="1" applyAlignment="1">
      <alignment horizontal="center" vertical="center"/>
    </xf>
    <xf numFmtId="0" fontId="0" fillId="10" borderId="37" xfId="0" applyFill="1" applyBorder="1" applyAlignment="1">
      <alignment horizontal="center" vertical="center"/>
    </xf>
    <xf numFmtId="49" fontId="11" fillId="0" borderId="0" xfId="62" applyNumberFormat="1" applyAlignment="1">
      <alignment horizontal="center" vertical="center" wrapText="1"/>
      <protection/>
    </xf>
    <xf numFmtId="0" fontId="11" fillId="0" borderId="0" xfId="62" applyAlignment="1">
      <alignment horizontal="center" vertical="center"/>
      <protection/>
    </xf>
    <xf numFmtId="0" fontId="11" fillId="0" borderId="0" xfId="62" applyAlignment="1" applyProtection="1">
      <alignment horizontal="left" vertical="center"/>
      <protection hidden="1"/>
    </xf>
    <xf numFmtId="0" fontId="11" fillId="0" borderId="0" xfId="62" applyAlignment="1" applyProtection="1">
      <alignment horizontal="center" vertical="center"/>
      <protection hidden="1"/>
    </xf>
    <xf numFmtId="0" fontId="0" fillId="25" borderId="0" xfId="0" applyFill="1" applyAlignment="1">
      <alignment/>
    </xf>
    <xf numFmtId="0" fontId="11" fillId="0" borderId="0" xfId="62" applyFont="1" applyAlignment="1">
      <alignment horizontal="center" vertical="center"/>
      <protection/>
    </xf>
    <xf numFmtId="0" fontId="0" fillId="10" borderId="0" xfId="0" applyFill="1" applyAlignment="1">
      <alignment/>
    </xf>
    <xf numFmtId="0" fontId="0" fillId="24" borderId="0" xfId="0" applyFill="1" applyAlignment="1">
      <alignment/>
    </xf>
    <xf numFmtId="0" fontId="0" fillId="15" borderId="0" xfId="0" applyFill="1" applyAlignment="1">
      <alignment/>
    </xf>
    <xf numFmtId="0" fontId="0" fillId="17" borderId="0" xfId="0" applyFill="1" applyAlignment="1">
      <alignment/>
    </xf>
    <xf numFmtId="0" fontId="18" fillId="0" borderId="25" xfId="61" applyFont="1" applyBorder="1" applyAlignment="1">
      <alignment horizontal="center"/>
      <protection/>
    </xf>
    <xf numFmtId="0" fontId="18" fillId="0" borderId="26" xfId="61" applyFont="1" applyBorder="1" applyAlignment="1">
      <alignment horizontal="center"/>
      <protection/>
    </xf>
    <xf numFmtId="0" fontId="18" fillId="0" borderId="52" xfId="61" applyFont="1" applyBorder="1" applyAlignment="1">
      <alignment horizontal="center"/>
      <protection/>
    </xf>
    <xf numFmtId="0" fontId="32" fillId="0" borderId="0" xfId="61" applyFont="1" applyFill="1" applyBorder="1" applyAlignment="1">
      <alignment horizontal="center"/>
      <protection/>
    </xf>
    <xf numFmtId="0" fontId="1" fillId="0" borderId="0" xfId="61">
      <alignment/>
      <protection/>
    </xf>
    <xf numFmtId="0" fontId="1" fillId="25" borderId="42" xfId="61" applyFill="1" applyBorder="1" applyAlignment="1">
      <alignment horizontal="center" wrapText="1"/>
      <protection/>
    </xf>
    <xf numFmtId="0" fontId="1" fillId="25" borderId="44" xfId="59" applyFill="1" applyBorder="1" applyAlignment="1">
      <alignment horizontal="center" wrapText="1"/>
      <protection/>
    </xf>
    <xf numFmtId="0" fontId="1" fillId="17" borderId="44" xfId="59" applyFill="1" applyBorder="1" applyAlignment="1">
      <alignment horizontal="center" wrapText="1"/>
      <protection/>
    </xf>
    <xf numFmtId="0" fontId="1" fillId="25" borderId="43" xfId="59" applyFill="1" applyBorder="1" applyAlignment="1">
      <alignment horizontal="center" wrapText="1"/>
      <protection/>
    </xf>
    <xf numFmtId="0" fontId="1" fillId="0" borderId="0" xfId="61" applyProtection="1">
      <alignment/>
      <protection hidden="1"/>
    </xf>
    <xf numFmtId="0" fontId="10" fillId="0" borderId="53" xfId="61" applyFont="1" applyBorder="1" applyAlignment="1">
      <alignment horizontal="left"/>
      <protection/>
    </xf>
    <xf numFmtId="0" fontId="1" fillId="0" borderId="54" xfId="61" applyBorder="1" applyAlignment="1">
      <alignment horizontal="left"/>
      <protection/>
    </xf>
    <xf numFmtId="0" fontId="1" fillId="21" borderId="47" xfId="61" applyFont="1" applyFill="1" applyBorder="1" applyAlignment="1">
      <alignment horizontal="center" wrapText="1"/>
      <protection/>
    </xf>
    <xf numFmtId="0" fontId="1" fillId="21" borderId="21" xfId="59" applyFont="1" applyFill="1" applyBorder="1" applyAlignment="1">
      <alignment horizontal="center" wrapText="1"/>
      <protection/>
    </xf>
    <xf numFmtId="0" fontId="1" fillId="21" borderId="32" xfId="59" applyFont="1" applyFill="1" applyBorder="1" applyAlignment="1">
      <alignment horizontal="center" wrapText="1"/>
      <protection/>
    </xf>
    <xf numFmtId="0" fontId="1" fillId="0" borderId="0" xfId="61" applyFont="1" applyProtection="1">
      <alignment/>
      <protection hidden="1"/>
    </xf>
    <xf numFmtId="0" fontId="1" fillId="0" borderId="46" xfId="61" applyBorder="1" applyAlignment="1">
      <alignment horizontal="left"/>
      <protection/>
    </xf>
    <xf numFmtId="0" fontId="1" fillId="0" borderId="16" xfId="61" applyBorder="1">
      <alignment/>
      <protection/>
    </xf>
    <xf numFmtId="0" fontId="1" fillId="25" borderId="47" xfId="61" applyFont="1" applyFill="1" applyBorder="1" applyAlignment="1">
      <alignment horizontal="center" wrapText="1"/>
      <protection/>
    </xf>
    <xf numFmtId="0" fontId="1" fillId="25" borderId="21" xfId="59" applyFont="1" applyFill="1" applyBorder="1" applyAlignment="1">
      <alignment horizontal="center" wrapText="1"/>
      <protection/>
    </xf>
    <xf numFmtId="0" fontId="1" fillId="25" borderId="32" xfId="59" applyFont="1" applyFill="1" applyBorder="1" applyAlignment="1">
      <alignment horizontal="center" wrapText="1"/>
      <protection/>
    </xf>
    <xf numFmtId="0" fontId="1" fillId="0" borderId="55" xfId="61" applyBorder="1" applyAlignment="1">
      <alignment horizontal="left"/>
      <protection/>
    </xf>
    <xf numFmtId="0" fontId="1" fillId="24" borderId="47" xfId="61" applyFont="1" applyFill="1" applyBorder="1" applyAlignment="1">
      <alignment horizontal="center" wrapText="1"/>
      <protection/>
    </xf>
    <xf numFmtId="0" fontId="1" fillId="15" borderId="21" xfId="59" applyFont="1" applyFill="1" applyBorder="1" applyAlignment="1">
      <alignment horizontal="center" wrapText="1"/>
      <protection/>
    </xf>
    <xf numFmtId="0" fontId="1" fillId="24" borderId="21" xfId="59" applyFont="1" applyFill="1" applyBorder="1" applyAlignment="1">
      <alignment horizontal="center" wrapText="1"/>
      <protection/>
    </xf>
    <xf numFmtId="0" fontId="1" fillId="24" borderId="32" xfId="59" applyFont="1" applyFill="1" applyBorder="1" applyAlignment="1">
      <alignment horizontal="center" wrapText="1"/>
      <protection/>
    </xf>
    <xf numFmtId="0" fontId="1" fillId="0" borderId="46" xfId="61" applyBorder="1">
      <alignment/>
      <protection/>
    </xf>
    <xf numFmtId="0" fontId="1" fillId="10" borderId="47" xfId="61" applyFont="1" applyFill="1" applyBorder="1" applyAlignment="1">
      <alignment horizontal="center" wrapText="1"/>
      <protection/>
    </xf>
    <xf numFmtId="0" fontId="10" fillId="0" borderId="53" xfId="61" applyFont="1" applyBorder="1">
      <alignment/>
      <protection/>
    </xf>
    <xf numFmtId="0" fontId="1" fillId="0" borderId="54" xfId="61" applyBorder="1">
      <alignment/>
      <protection/>
    </xf>
    <xf numFmtId="0" fontId="1" fillId="17" borderId="21" xfId="59" applyFont="1" applyFill="1" applyBorder="1" applyAlignment="1">
      <alignment horizontal="center" wrapText="1"/>
      <protection/>
    </xf>
    <xf numFmtId="0" fontId="1" fillId="15" borderId="32" xfId="59" applyFont="1" applyFill="1" applyBorder="1" applyAlignment="1">
      <alignment horizontal="center" wrapText="1"/>
      <protection/>
    </xf>
    <xf numFmtId="0" fontId="1" fillId="0" borderId="55" xfId="61" applyBorder="1">
      <alignment/>
      <protection/>
    </xf>
    <xf numFmtId="0" fontId="1" fillId="0" borderId="56" xfId="61" applyBorder="1">
      <alignment/>
      <protection/>
    </xf>
    <xf numFmtId="0" fontId="1" fillId="15" borderId="47" xfId="61" applyFont="1" applyFill="1" applyBorder="1" applyAlignment="1">
      <alignment horizontal="center" wrapText="1"/>
      <protection/>
    </xf>
    <xf numFmtId="0" fontId="10" fillId="0" borderId="46" xfId="61" applyFont="1" applyBorder="1">
      <alignment/>
      <protection/>
    </xf>
    <xf numFmtId="0" fontId="10" fillId="0" borderId="16" xfId="61" applyFont="1" applyBorder="1">
      <alignment/>
      <protection/>
    </xf>
    <xf numFmtId="0" fontId="1" fillId="10" borderId="21" xfId="59" applyFont="1" applyFill="1" applyBorder="1" applyAlignment="1">
      <alignment horizontal="center" wrapText="1"/>
      <protection/>
    </xf>
    <xf numFmtId="0" fontId="1" fillId="17" borderId="50" xfId="59" applyFont="1" applyFill="1" applyBorder="1" applyAlignment="1">
      <alignment horizontal="center" wrapText="1"/>
      <protection/>
    </xf>
    <xf numFmtId="0" fontId="1" fillId="0" borderId="0" xfId="59" applyFont="1" applyProtection="1">
      <alignment/>
      <protection hidden="1"/>
    </xf>
    <xf numFmtId="0" fontId="10" fillId="0" borderId="0" xfId="61" applyFont="1" applyProtection="1">
      <alignment/>
      <protection hidden="1"/>
    </xf>
    <xf numFmtId="0" fontId="1" fillId="25" borderId="0" xfId="61" applyFill="1" applyProtection="1">
      <alignment/>
      <protection hidden="1"/>
    </xf>
    <xf numFmtId="0" fontId="1" fillId="10" borderId="0" xfId="61" applyFill="1" applyProtection="1">
      <alignment/>
      <protection hidden="1"/>
    </xf>
    <xf numFmtId="0" fontId="1" fillId="24" borderId="0" xfId="61" applyFill="1" applyProtection="1">
      <alignment/>
      <protection hidden="1"/>
    </xf>
    <xf numFmtId="0" fontId="1" fillId="15" borderId="0" xfId="61" applyFill="1" applyProtection="1">
      <alignment/>
      <protection hidden="1"/>
    </xf>
    <xf numFmtId="0" fontId="1" fillId="17" borderId="0" xfId="61" applyFill="1" applyProtection="1">
      <alignment/>
      <protection hidden="1"/>
    </xf>
    <xf numFmtId="0" fontId="1" fillId="0" borderId="0" xfId="61" applyFont="1" applyAlignment="1" applyProtection="1">
      <alignment horizontal="right"/>
      <protection hidden="1"/>
    </xf>
    <xf numFmtId="0" fontId="1" fillId="0" borderId="0" xfId="61" applyFont="1">
      <alignment/>
      <protection/>
    </xf>
    <xf numFmtId="0" fontId="27" fillId="0" borderId="57" xfId="62" applyFont="1" applyBorder="1" applyAlignment="1">
      <alignment horizontal="center" vertical="center" wrapText="1"/>
      <protection/>
    </xf>
    <xf numFmtId="0" fontId="27" fillId="0" borderId="25" xfId="62" applyFont="1" applyBorder="1" applyAlignment="1">
      <alignment horizontal="center" vertical="center" wrapText="1"/>
      <protection/>
    </xf>
    <xf numFmtId="0" fontId="27" fillId="0" borderId="26" xfId="62" applyFont="1" applyBorder="1" applyAlignment="1">
      <alignment horizontal="center" vertical="center" wrapText="1"/>
      <protection/>
    </xf>
    <xf numFmtId="0" fontId="11" fillId="0" borderId="0" xfId="62" applyAlignment="1">
      <alignment vertical="center" wrapText="1"/>
      <protection/>
    </xf>
    <xf numFmtId="0" fontId="27" fillId="0" borderId="42" xfId="62" applyFont="1" applyBorder="1" applyAlignment="1">
      <alignment horizontal="center" vertical="center" wrapText="1"/>
      <protection/>
    </xf>
    <xf numFmtId="0" fontId="27" fillId="0" borderId="58" xfId="62" applyFont="1" applyBorder="1" applyAlignment="1">
      <alignment horizontal="center" vertical="center" wrapText="1"/>
      <protection/>
    </xf>
    <xf numFmtId="0" fontId="11" fillId="0" borderId="44" xfId="62" applyBorder="1" applyAlignment="1">
      <alignment horizontal="center" vertical="center" wrapText="1"/>
      <protection/>
    </xf>
    <xf numFmtId="0" fontId="11" fillId="0" borderId="43" xfId="62" applyBorder="1" applyAlignment="1">
      <alignment horizontal="center" vertical="center" wrapText="1"/>
      <protection/>
    </xf>
    <xf numFmtId="0" fontId="11" fillId="0" borderId="46" xfId="62" applyFont="1" applyBorder="1" applyAlignment="1">
      <alignment horizontal="center" vertical="center" wrapText="1"/>
      <protection/>
    </xf>
    <xf numFmtId="0" fontId="11" fillId="25" borderId="32" xfId="0" applyFont="1" applyFill="1" applyBorder="1" applyAlignment="1">
      <alignment horizontal="center" vertical="center" wrapText="1"/>
    </xf>
    <xf numFmtId="0" fontId="11" fillId="0" borderId="40" xfId="62" applyFont="1" applyBorder="1" applyAlignment="1">
      <alignment horizontal="center" vertical="center" wrapText="1"/>
      <protection/>
    </xf>
    <xf numFmtId="0" fontId="11" fillId="0" borderId="14" xfId="62" applyFont="1" applyBorder="1" applyAlignment="1">
      <alignment horizontal="center" vertical="center" wrapText="1"/>
      <protection/>
    </xf>
    <xf numFmtId="0" fontId="11" fillId="10" borderId="50" xfId="0" applyFont="1" applyFill="1" applyBorder="1" applyAlignment="1">
      <alignment horizontal="center" vertical="center" wrapText="1"/>
    </xf>
    <xf numFmtId="0" fontId="11" fillId="25" borderId="50" xfId="0" applyFont="1" applyFill="1" applyBorder="1" applyAlignment="1">
      <alignment horizontal="center" vertical="center" wrapText="1"/>
    </xf>
    <xf numFmtId="0" fontId="11" fillId="17" borderId="50" xfId="0" applyFont="1" applyFill="1" applyBorder="1" applyAlignment="1">
      <alignment horizontal="center" vertical="center" wrapText="1"/>
    </xf>
    <xf numFmtId="0" fontId="11" fillId="15" borderId="50" xfId="0" applyFont="1" applyFill="1" applyBorder="1" applyAlignment="1">
      <alignment horizontal="center" vertical="center" wrapText="1"/>
    </xf>
    <xf numFmtId="0" fontId="11" fillId="10" borderId="37" xfId="0" applyFont="1" applyFill="1" applyBorder="1" applyAlignment="1">
      <alignment horizontal="center" vertical="center" wrapText="1"/>
    </xf>
    <xf numFmtId="0" fontId="27" fillId="0" borderId="58" xfId="62" applyFont="1" applyBorder="1" applyAlignment="1">
      <alignment horizontal="center" vertical="center" wrapText="1"/>
      <protection/>
    </xf>
    <xf numFmtId="0" fontId="11" fillId="0" borderId="44" xfId="0" applyFont="1" applyBorder="1" applyAlignment="1">
      <alignment horizontal="center" vertical="center" wrapText="1"/>
    </xf>
    <xf numFmtId="0" fontId="11" fillId="0" borderId="43" xfId="0" applyFont="1" applyBorder="1" applyAlignment="1">
      <alignment horizontal="center" vertical="center" wrapText="1"/>
    </xf>
    <xf numFmtId="0" fontId="33" fillId="0" borderId="46" xfId="62" applyFont="1" applyBorder="1" applyAlignment="1">
      <alignment horizontal="center" vertical="center" wrapText="1"/>
      <protection/>
    </xf>
    <xf numFmtId="0" fontId="33" fillId="0" borderId="0" xfId="62" applyFont="1" applyBorder="1" applyAlignment="1">
      <alignment horizontal="center" vertical="center" wrapText="1"/>
      <protection/>
    </xf>
    <xf numFmtId="0" fontId="11" fillId="0" borderId="21" xfId="0" applyFont="1" applyBorder="1" applyAlignment="1">
      <alignment horizontal="center" vertical="center" wrapText="1"/>
    </xf>
    <xf numFmtId="0" fontId="11" fillId="0" borderId="32" xfId="0" applyFont="1" applyBorder="1" applyAlignment="1">
      <alignment horizontal="center" vertical="center" wrapText="1"/>
    </xf>
    <xf numFmtId="0" fontId="11" fillId="10" borderId="32" xfId="0" applyFont="1" applyFill="1" applyBorder="1" applyAlignment="1">
      <alignment horizontal="center" vertical="center" wrapText="1"/>
    </xf>
    <xf numFmtId="0" fontId="11" fillId="15" borderId="32" xfId="0" applyFont="1" applyFill="1" applyBorder="1" applyAlignment="1">
      <alignment horizontal="center" vertical="center" wrapText="1"/>
    </xf>
    <xf numFmtId="0" fontId="11" fillId="24" borderId="50" xfId="0" applyFont="1" applyFill="1" applyBorder="1" applyAlignment="1">
      <alignment horizontal="center" vertical="center" wrapText="1"/>
    </xf>
    <xf numFmtId="0" fontId="11" fillId="15" borderId="37" xfId="0" applyFont="1" applyFill="1" applyBorder="1" applyAlignment="1">
      <alignment horizontal="center" vertical="center" wrapText="1"/>
    </xf>
    <xf numFmtId="0" fontId="27" fillId="0" borderId="28" xfId="62" applyFont="1" applyBorder="1" applyAlignment="1">
      <alignment horizontal="center" vertical="center" wrapText="1"/>
      <protection/>
    </xf>
    <xf numFmtId="0" fontId="13" fillId="0" borderId="59" xfId="0" applyFont="1" applyBorder="1" applyAlignment="1">
      <alignment horizontal="center" vertical="center" wrapText="1"/>
    </xf>
    <xf numFmtId="0" fontId="13" fillId="0" borderId="29" xfId="0" applyFont="1" applyBorder="1" applyAlignment="1">
      <alignment horizontal="center" vertical="center" wrapText="1"/>
    </xf>
    <xf numFmtId="0" fontId="27" fillId="0" borderId="0" xfId="62" applyFont="1" applyAlignment="1">
      <alignment vertical="center" wrapText="1"/>
      <protection/>
    </xf>
    <xf numFmtId="0" fontId="33" fillId="0" borderId="46" xfId="62" applyFont="1" applyBorder="1" applyAlignment="1">
      <alignment horizontal="center" vertical="center" wrapText="1"/>
      <protection/>
    </xf>
    <xf numFmtId="0" fontId="33" fillId="0" borderId="0" xfId="62" applyFont="1" applyBorder="1" applyAlignment="1">
      <alignment horizontal="center" vertical="center" wrapText="1"/>
      <protection/>
    </xf>
    <xf numFmtId="0" fontId="11" fillId="0" borderId="0" xfId="62" applyBorder="1" applyAlignment="1">
      <alignment horizontal="center" vertical="center" wrapText="1"/>
      <protection/>
    </xf>
    <xf numFmtId="0" fontId="11" fillId="24" borderId="32" xfId="0" applyFont="1" applyFill="1" applyBorder="1" applyAlignment="1">
      <alignment horizontal="center" vertical="center" wrapText="1"/>
    </xf>
    <xf numFmtId="0" fontId="11" fillId="0" borderId="60" xfId="62" applyFont="1" applyBorder="1" applyAlignment="1">
      <alignment horizontal="center" vertical="center" wrapText="1"/>
      <protection/>
    </xf>
    <xf numFmtId="0" fontId="11" fillId="0" borderId="28" xfId="62" applyBorder="1" applyAlignment="1">
      <alignment horizontal="center" vertical="center" wrapText="1"/>
      <protection/>
    </xf>
    <xf numFmtId="0" fontId="11" fillId="17" borderId="32" xfId="0" applyFont="1" applyFill="1" applyBorder="1" applyAlignment="1">
      <alignment horizontal="center" vertical="center" wrapText="1"/>
    </xf>
    <xf numFmtId="0" fontId="11" fillId="0" borderId="40" xfId="62" applyFont="1" applyBorder="1" applyAlignment="1">
      <alignment horizontal="center" vertical="center" wrapText="1"/>
      <protection/>
    </xf>
    <xf numFmtId="0" fontId="11" fillId="0" borderId="14" xfId="62" applyBorder="1" applyAlignment="1">
      <alignment horizontal="center" vertical="center" wrapText="1"/>
      <protection/>
    </xf>
    <xf numFmtId="0" fontId="11" fillId="0" borderId="0" xfId="62" applyFont="1" applyBorder="1" applyAlignment="1">
      <alignment horizontal="center" vertical="center" wrapText="1"/>
      <protection/>
    </xf>
    <xf numFmtId="0" fontId="13" fillId="0" borderId="0" xfId="62" applyFont="1" applyAlignment="1">
      <alignment horizontal="center" vertical="center" wrapText="1"/>
      <protection/>
    </xf>
    <xf numFmtId="0" fontId="11" fillId="0" borderId="0" xfId="62" applyAlignment="1">
      <alignment horizontal="left" vertical="center"/>
      <protection/>
    </xf>
    <xf numFmtId="0" fontId="11" fillId="0" borderId="0" xfId="62" applyAlignment="1">
      <alignment horizontal="center" vertical="center" wrapText="1"/>
      <protection/>
    </xf>
    <xf numFmtId="0" fontId="11" fillId="0" borderId="0" xfId="62" applyAlignment="1">
      <alignment horizontal="left" vertical="center" wrapText="1"/>
      <protection/>
    </xf>
    <xf numFmtId="0" fontId="11" fillId="0" borderId="0" xfId="62" applyFont="1" applyAlignment="1">
      <alignment horizontal="left" vertical="center" wrapText="1"/>
      <protection/>
    </xf>
    <xf numFmtId="0" fontId="28" fillId="0" borderId="0" xfId="62" applyFont="1" applyBorder="1" applyAlignment="1" applyProtection="1">
      <alignment horizontal="center" vertical="center" wrapText="1"/>
      <protection hidden="1"/>
    </xf>
    <xf numFmtId="0" fontId="11" fillId="0" borderId="0" xfId="62" applyAlignment="1" applyProtection="1">
      <alignment horizontal="center" vertical="center" wrapText="1"/>
      <protection hidden="1"/>
    </xf>
    <xf numFmtId="0" fontId="11" fillId="0" borderId="0" xfId="62" applyAlignment="1" applyProtection="1">
      <alignment vertical="center" wrapText="1"/>
      <protection hidden="1"/>
    </xf>
    <xf numFmtId="0" fontId="27" fillId="0" borderId="0" xfId="62" applyFont="1" applyBorder="1" applyAlignment="1" applyProtection="1">
      <alignment horizontal="center" vertical="center" wrapText="1"/>
      <protection hidden="1"/>
    </xf>
    <xf numFmtId="0" fontId="28" fillId="0" borderId="0" xfId="62" applyFont="1" applyAlignment="1" applyProtection="1">
      <alignment horizontal="center" vertical="center" wrapText="1"/>
      <protection hidden="1"/>
    </xf>
    <xf numFmtId="0" fontId="1" fillId="26" borderId="61" xfId="62" applyFont="1" applyFill="1" applyBorder="1" applyAlignment="1" applyProtection="1">
      <alignment horizontal="center" vertical="center" wrapText="1"/>
      <protection locked="0"/>
    </xf>
    <xf numFmtId="0" fontId="6" fillId="22" borderId="0" xfId="58" applyFont="1" applyFill="1" applyBorder="1" applyAlignment="1">
      <alignment vertical="top" wrapText="1"/>
      <protection/>
    </xf>
    <xf numFmtId="0" fontId="1" fillId="0" borderId="0" xfId="58" applyBorder="1">
      <alignment/>
      <protection/>
    </xf>
    <xf numFmtId="0" fontId="11" fillId="24" borderId="0" xfId="62" applyFill="1" applyAlignment="1">
      <alignment vertical="center" wrapText="1"/>
      <protection/>
    </xf>
    <xf numFmtId="0" fontId="11" fillId="24" borderId="0" xfId="62" applyFill="1" applyAlignment="1">
      <alignment horizontal="center" vertical="center" wrapText="1"/>
      <protection/>
    </xf>
    <xf numFmtId="0" fontId="11" fillId="0" borderId="0" xfId="62" applyFill="1" applyAlignment="1" applyProtection="1">
      <alignment horizontal="center" vertical="center" wrapText="1"/>
      <protection hidden="1"/>
    </xf>
    <xf numFmtId="0" fontId="28" fillId="0" borderId="0" xfId="62" applyFont="1" applyFill="1" applyBorder="1" applyAlignment="1" applyProtection="1">
      <alignment horizontal="center" vertical="center" wrapText="1"/>
      <protection hidden="1"/>
    </xf>
    <xf numFmtId="0" fontId="1" fillId="17" borderId="47" xfId="61" applyFont="1" applyFill="1" applyBorder="1" applyAlignment="1">
      <alignment horizontal="center" wrapText="1"/>
      <protection/>
    </xf>
    <xf numFmtId="0" fontId="1" fillId="17" borderId="32" xfId="59" applyFont="1" applyFill="1" applyBorder="1" applyAlignment="1">
      <alignment horizontal="center" wrapText="1"/>
      <protection/>
    </xf>
    <xf numFmtId="0" fontId="1" fillId="24" borderId="47" xfId="59" applyFont="1" applyFill="1" applyBorder="1" applyAlignment="1">
      <alignment horizontal="center" wrapText="1"/>
      <protection/>
    </xf>
    <xf numFmtId="0" fontId="1" fillId="25" borderId="37" xfId="59" applyFont="1" applyFill="1" applyBorder="1" applyAlignment="1">
      <alignment horizontal="center" wrapText="1"/>
      <protection/>
    </xf>
    <xf numFmtId="0" fontId="11" fillId="24" borderId="0" xfId="62" applyFont="1" applyFill="1" applyBorder="1" applyAlignment="1">
      <alignment horizontal="center" vertical="center" wrapText="1"/>
      <protection/>
    </xf>
    <xf numFmtId="0" fontId="11" fillId="24" borderId="0" xfId="62" applyFont="1" applyFill="1" applyAlignment="1">
      <alignment horizontal="center" vertical="center" wrapText="1"/>
      <protection/>
    </xf>
    <xf numFmtId="0" fontId="11" fillId="24" borderId="0" xfId="62" applyFont="1" applyFill="1" applyAlignment="1">
      <alignment vertical="center" wrapText="1"/>
      <protection/>
    </xf>
    <xf numFmtId="0" fontId="27" fillId="24" borderId="62" xfId="62" applyFont="1" applyFill="1" applyBorder="1" applyAlignment="1">
      <alignment horizontal="center" vertical="center" wrapText="1"/>
      <protection/>
    </xf>
    <xf numFmtId="0" fontId="27" fillId="24" borderId="0" xfId="62" applyFont="1" applyFill="1" applyBorder="1" applyAlignment="1">
      <alignment horizontal="center" vertical="center" wrapText="1"/>
      <protection/>
    </xf>
    <xf numFmtId="0" fontId="11" fillId="24" borderId="0" xfId="62" applyFont="1" applyFill="1" applyAlignment="1">
      <alignment horizontal="center" vertical="center" wrapText="1"/>
      <protection/>
    </xf>
    <xf numFmtId="49" fontId="0" fillId="24" borderId="0" xfId="0" applyNumberFormat="1" applyFill="1" applyAlignment="1">
      <alignment/>
    </xf>
    <xf numFmtId="49" fontId="11" fillId="24" borderId="0" xfId="62" applyNumberFormat="1" applyFill="1" applyAlignment="1">
      <alignment horizontal="center" vertical="center" wrapText="1"/>
      <protection/>
    </xf>
    <xf numFmtId="49" fontId="11" fillId="24" borderId="0" xfId="62" applyNumberFormat="1" applyFont="1" applyFill="1" applyAlignment="1">
      <alignment horizontal="center" vertical="center" wrapText="1"/>
      <protection/>
    </xf>
    <xf numFmtId="0" fontId="1" fillId="0" borderId="0" xfId="0" applyFont="1" applyAlignment="1">
      <alignment/>
    </xf>
    <xf numFmtId="0" fontId="11" fillId="24" borderId="0" xfId="0" applyFont="1" applyFill="1" applyBorder="1" applyAlignment="1">
      <alignment horizontal="right" vertical="center"/>
    </xf>
    <xf numFmtId="0" fontId="11" fillId="24" borderId="0" xfId="63" applyFont="1" applyFill="1">
      <alignment/>
      <protection/>
    </xf>
    <xf numFmtId="0" fontId="1" fillId="10" borderId="20" xfId="63" applyFont="1" applyFill="1" applyBorder="1" applyAlignment="1" applyProtection="1">
      <alignment horizontal="center" wrapText="1"/>
      <protection/>
    </xf>
    <xf numFmtId="0" fontId="1" fillId="24" borderId="20" xfId="63" applyFont="1" applyFill="1" applyBorder="1" applyAlignment="1" applyProtection="1">
      <alignment horizontal="center" wrapText="1"/>
      <protection/>
    </xf>
    <xf numFmtId="0" fontId="1" fillId="24" borderId="22" xfId="63" applyFont="1" applyFill="1" applyBorder="1" applyAlignment="1" applyProtection="1">
      <alignment horizontal="center" wrapText="1"/>
      <protection/>
    </xf>
    <xf numFmtId="0" fontId="1" fillId="17" borderId="20" xfId="63" applyFont="1" applyFill="1" applyBorder="1" applyAlignment="1" applyProtection="1">
      <alignment horizontal="center" wrapText="1"/>
      <protection/>
    </xf>
    <xf numFmtId="0" fontId="1" fillId="17" borderId="22" xfId="63" applyFont="1" applyFill="1" applyBorder="1" applyAlignment="1" applyProtection="1">
      <alignment horizontal="center" wrapText="1"/>
      <protection/>
    </xf>
    <xf numFmtId="0" fontId="1" fillId="24" borderId="17" xfId="63" applyFont="1" applyFill="1" applyBorder="1" applyAlignment="1" applyProtection="1">
      <alignment horizontal="center" wrapText="1"/>
      <protection/>
    </xf>
    <xf numFmtId="0" fontId="1" fillId="17" borderId="17" xfId="63" applyFont="1" applyFill="1" applyBorder="1" applyAlignment="1" applyProtection="1">
      <alignment horizontal="center" wrapText="1"/>
      <protection/>
    </xf>
    <xf numFmtId="0" fontId="1" fillId="17" borderId="18" xfId="63" applyFont="1" applyFill="1" applyBorder="1" applyAlignment="1" applyProtection="1">
      <alignment horizontal="center" wrapText="1"/>
      <protection/>
    </xf>
    <xf numFmtId="0" fontId="1" fillId="21" borderId="20" xfId="63" applyFont="1" applyFill="1" applyBorder="1" applyAlignment="1" applyProtection="1">
      <alignment horizontal="center" wrapText="1"/>
      <protection/>
    </xf>
    <xf numFmtId="0" fontId="14" fillId="24" borderId="0" xfId="62" applyFont="1" applyFill="1" applyBorder="1" applyAlignment="1">
      <alignment horizontal="center" vertical="center" wrapText="1"/>
      <protection/>
    </xf>
    <xf numFmtId="0" fontId="1" fillId="0" borderId="56" xfId="61" applyFont="1" applyBorder="1" applyAlignment="1">
      <alignment horizontal="left"/>
      <protection/>
    </xf>
    <xf numFmtId="0" fontId="1" fillId="24" borderId="47" xfId="61" applyFont="1" applyFill="1" applyBorder="1" applyAlignment="1">
      <alignment horizontal="center" wrapText="1"/>
      <protection/>
    </xf>
    <xf numFmtId="0" fontId="1" fillId="15" borderId="21" xfId="59" applyFont="1" applyFill="1" applyBorder="1" applyAlignment="1">
      <alignment horizontal="center" wrapText="1"/>
      <protection/>
    </xf>
    <xf numFmtId="0" fontId="1" fillId="24" borderId="21" xfId="59" applyFont="1" applyFill="1" applyBorder="1" applyAlignment="1">
      <alignment horizontal="center" wrapText="1"/>
      <protection/>
    </xf>
    <xf numFmtId="0" fontId="1" fillId="24" borderId="32" xfId="59" applyFont="1" applyFill="1" applyBorder="1" applyAlignment="1">
      <alignment horizontal="center" wrapText="1"/>
      <protection/>
    </xf>
    <xf numFmtId="0" fontId="11" fillId="0" borderId="0" xfId="64" applyFont="1" applyAlignment="1">
      <alignment vertical="center" wrapText="1"/>
      <protection/>
    </xf>
    <xf numFmtId="0" fontId="35" fillId="0" borderId="0" xfId="61" applyFont="1" applyFill="1" applyBorder="1">
      <alignment/>
      <protection/>
    </xf>
    <xf numFmtId="0" fontId="35" fillId="0" borderId="0" xfId="59" applyFont="1" applyFill="1" applyBorder="1" applyAlignment="1">
      <alignment horizontal="center" wrapText="1"/>
      <protection/>
    </xf>
    <xf numFmtId="0" fontId="11" fillId="0" borderId="0" xfId="64" applyFont="1" applyAlignment="1">
      <alignment horizontal="center" vertical="center" wrapText="1"/>
      <protection/>
    </xf>
    <xf numFmtId="0" fontId="38" fillId="0" borderId="0" xfId="61" applyFont="1" applyFill="1" applyBorder="1" applyAlignment="1">
      <alignment horizontal="left"/>
      <protection/>
    </xf>
    <xf numFmtId="0" fontId="35" fillId="0" borderId="0" xfId="61" applyFont="1" applyFill="1" applyBorder="1" applyAlignment="1">
      <alignment horizontal="center" wrapText="1"/>
      <protection/>
    </xf>
    <xf numFmtId="0" fontId="13" fillId="0" borderId="50" xfId="62" applyFont="1" applyBorder="1" applyAlignment="1">
      <alignment horizontal="center" vertical="center" wrapText="1"/>
      <protection/>
    </xf>
    <xf numFmtId="0" fontId="13" fillId="0" borderId="50" xfId="64" applyFont="1" applyBorder="1" applyAlignment="1">
      <alignment horizontal="center" vertical="center" wrapText="1"/>
      <protection/>
    </xf>
    <xf numFmtId="0" fontId="13" fillId="0" borderId="37" xfId="62" applyFont="1" applyBorder="1" applyAlignment="1">
      <alignment horizontal="center" vertical="center" wrapText="1"/>
      <protection/>
    </xf>
    <xf numFmtId="0" fontId="11" fillId="25" borderId="63" xfId="64" applyFont="1" applyFill="1" applyBorder="1" applyAlignment="1">
      <alignment horizontal="center" vertical="center" wrapText="1"/>
      <protection/>
    </xf>
    <xf numFmtId="0" fontId="11" fillId="25" borderId="35" xfId="64" applyFont="1" applyFill="1" applyBorder="1" applyAlignment="1">
      <alignment horizontal="center" vertical="center" wrapText="1"/>
      <protection/>
    </xf>
    <xf numFmtId="0" fontId="11" fillId="25" borderId="59" xfId="64" applyFont="1" applyFill="1" applyBorder="1" applyAlignment="1">
      <alignment horizontal="center" vertical="center" wrapText="1"/>
      <protection/>
    </xf>
    <xf numFmtId="0" fontId="11" fillId="25" borderId="29" xfId="64" applyFont="1" applyFill="1" applyBorder="1" applyAlignment="1">
      <alignment horizontal="center" vertical="center" wrapText="1"/>
      <protection/>
    </xf>
    <xf numFmtId="0" fontId="11" fillId="25" borderId="47" xfId="64" applyFont="1" applyFill="1" applyBorder="1" applyAlignment="1">
      <alignment horizontal="center" vertical="center" wrapText="1"/>
      <protection/>
    </xf>
    <xf numFmtId="0" fontId="11" fillId="25" borderId="21" xfId="64" applyFont="1" applyFill="1" applyBorder="1" applyAlignment="1">
      <alignment horizontal="center" vertical="center" wrapText="1"/>
      <protection/>
    </xf>
    <xf numFmtId="0" fontId="27" fillId="27" borderId="64" xfId="64" applyFont="1" applyFill="1" applyBorder="1" applyAlignment="1">
      <alignment horizontal="center" vertical="center" wrapText="1"/>
      <protection/>
    </xf>
    <xf numFmtId="0" fontId="11" fillId="0" borderId="65" xfId="64" applyFont="1" applyBorder="1" applyAlignment="1">
      <alignment vertical="center" wrapText="1"/>
      <protection/>
    </xf>
    <xf numFmtId="0" fontId="11" fillId="0" borderId="26" xfId="62" applyFont="1" applyBorder="1" applyAlignment="1">
      <alignment horizontal="center" vertical="center" wrapText="1"/>
      <protection/>
    </xf>
    <xf numFmtId="0" fontId="11" fillId="0" borderId="66" xfId="64" applyFont="1" applyBorder="1" applyAlignment="1">
      <alignment vertical="center" wrapText="1"/>
      <protection/>
    </xf>
    <xf numFmtId="0" fontId="11" fillId="27" borderId="67" xfId="64" applyFont="1" applyFill="1" applyBorder="1" applyAlignment="1">
      <alignment horizontal="center" vertical="center" wrapText="1"/>
      <protection/>
    </xf>
    <xf numFmtId="0" fontId="11" fillId="27" borderId="21" xfId="64" applyFont="1" applyFill="1" applyBorder="1" applyAlignment="1">
      <alignment horizontal="center" vertical="center" wrapText="1"/>
      <protection/>
    </xf>
    <xf numFmtId="0" fontId="11" fillId="27" borderId="68" xfId="64" applyFont="1" applyFill="1" applyBorder="1" applyAlignment="1">
      <alignment horizontal="center" vertical="center" wrapText="1"/>
      <protection/>
    </xf>
    <xf numFmtId="0" fontId="11" fillId="24" borderId="21" xfId="64" applyFont="1" applyFill="1" applyBorder="1" applyAlignment="1">
      <alignment horizontal="center" vertical="center" wrapText="1"/>
      <protection/>
    </xf>
    <xf numFmtId="0" fontId="11" fillId="10" borderId="21" xfId="64" applyFont="1" applyFill="1" applyBorder="1" applyAlignment="1">
      <alignment horizontal="center" vertical="center" wrapText="1"/>
      <protection/>
    </xf>
    <xf numFmtId="0" fontId="11" fillId="25" borderId="31" xfId="0" applyFont="1" applyFill="1" applyBorder="1" applyAlignment="1">
      <alignment horizontal="center" vertical="center" wrapText="1"/>
    </xf>
    <xf numFmtId="0" fontId="27" fillId="0" borderId="24" xfId="62" applyFont="1" applyBorder="1" applyAlignment="1">
      <alignment horizontal="center" vertical="center" wrapText="1"/>
      <protection/>
    </xf>
    <xf numFmtId="0" fontId="27" fillId="0" borderId="69" xfId="62" applyFont="1" applyBorder="1" applyAlignment="1">
      <alignment horizontal="center" vertical="center" wrapText="1"/>
      <protection/>
    </xf>
    <xf numFmtId="0" fontId="11" fillId="25" borderId="28" xfId="0" applyFont="1" applyFill="1" applyBorder="1" applyAlignment="1">
      <alignment horizontal="center" vertical="center" wrapText="1"/>
    </xf>
    <xf numFmtId="0" fontId="11" fillId="10" borderId="59" xfId="0" applyFont="1" applyFill="1" applyBorder="1" applyAlignment="1">
      <alignment horizontal="center" vertical="center" wrapText="1"/>
    </xf>
    <xf numFmtId="0" fontId="11" fillId="24" borderId="59" xfId="0" applyFont="1" applyFill="1" applyBorder="1" applyAlignment="1">
      <alignment horizontal="center" vertical="center" wrapText="1"/>
    </xf>
    <xf numFmtId="0" fontId="11" fillId="25" borderId="59" xfId="0" applyFont="1" applyFill="1" applyBorder="1" applyAlignment="1">
      <alignment horizontal="center" vertical="center" wrapText="1"/>
    </xf>
    <xf numFmtId="0" fontId="11" fillId="15" borderId="59" xfId="0" applyFont="1" applyFill="1" applyBorder="1" applyAlignment="1">
      <alignment horizontal="center" vertical="center" wrapText="1"/>
    </xf>
    <xf numFmtId="0" fontId="11" fillId="17" borderId="59" xfId="0" applyFont="1" applyFill="1" applyBorder="1" applyAlignment="1">
      <alignment horizontal="center" vertical="center" wrapText="1"/>
    </xf>
    <xf numFmtId="0" fontId="27" fillId="0" borderId="64" xfId="62" applyFont="1" applyBorder="1" applyAlignment="1">
      <alignment horizontal="center" vertical="center" wrapText="1"/>
      <protection/>
    </xf>
    <xf numFmtId="0" fontId="11" fillId="0" borderId="70" xfId="62" applyBorder="1" applyAlignment="1">
      <alignment horizontal="center" vertical="center" wrapText="1"/>
      <protection/>
    </xf>
    <xf numFmtId="0" fontId="11" fillId="0" borderId="70" xfId="62" applyFont="1" applyBorder="1" applyAlignment="1">
      <alignment horizontal="center" vertical="center" wrapText="1"/>
      <protection/>
    </xf>
    <xf numFmtId="0" fontId="11" fillId="0" borderId="70" xfId="62" applyFont="1" applyBorder="1" applyAlignment="1">
      <alignment horizontal="center" vertical="center" wrapText="1"/>
      <protection/>
    </xf>
    <xf numFmtId="0" fontId="11" fillId="0" borderId="26" xfId="62" applyFont="1" applyBorder="1" applyAlignment="1">
      <alignment horizontal="center" vertical="center" wrapText="1"/>
      <protection/>
    </xf>
    <xf numFmtId="0" fontId="11" fillId="0" borderId="26" xfId="62" applyBorder="1" applyAlignment="1">
      <alignment horizontal="center" vertical="center" wrapText="1"/>
      <protection/>
    </xf>
    <xf numFmtId="0" fontId="42" fillId="0" borderId="46" xfId="62" applyFont="1" applyBorder="1" applyAlignment="1">
      <alignment horizontal="center" vertical="center" wrapText="1"/>
      <protection/>
    </xf>
    <xf numFmtId="0" fontId="14" fillId="0" borderId="46" xfId="62" applyFont="1" applyBorder="1" applyAlignment="1">
      <alignment horizontal="center" vertical="center" wrapText="1"/>
      <protection/>
    </xf>
    <xf numFmtId="0" fontId="11" fillId="28" borderId="0" xfId="62" applyFill="1" applyAlignment="1">
      <alignment horizontal="center" vertical="center" wrapText="1"/>
      <protection/>
    </xf>
    <xf numFmtId="0" fontId="11" fillId="0" borderId="0" xfId="62" applyFont="1" applyFill="1" applyAlignment="1">
      <alignment horizontal="center" vertical="center" wrapText="1"/>
      <protection/>
    </xf>
    <xf numFmtId="0" fontId="37" fillId="0" borderId="39" xfId="64" applyFont="1" applyBorder="1" applyAlignment="1">
      <alignment horizontal="center" vertical="center" wrapText="1"/>
      <protection/>
    </xf>
    <xf numFmtId="0" fontId="37" fillId="0" borderId="40" xfId="64" applyFont="1" applyBorder="1" applyAlignment="1">
      <alignment horizontal="center" vertical="center" wrapText="1"/>
      <protection/>
    </xf>
    <xf numFmtId="0" fontId="11" fillId="0" borderId="71" xfId="62" applyBorder="1" applyAlignment="1">
      <alignment horizontal="center" vertical="center"/>
      <protection/>
    </xf>
    <xf numFmtId="0" fontId="11" fillId="0" borderId="72" xfId="62" applyBorder="1" applyAlignment="1">
      <alignment horizontal="center" vertical="center" wrapText="1"/>
      <protection/>
    </xf>
    <xf numFmtId="0" fontId="0" fillId="0" borderId="71" xfId="0" applyBorder="1" applyAlignment="1">
      <alignment horizontal="center" vertical="center"/>
    </xf>
    <xf numFmtId="0" fontId="1" fillId="25" borderId="49" xfId="61" applyFont="1" applyFill="1" applyBorder="1" applyAlignment="1">
      <alignment horizontal="center" wrapText="1"/>
      <protection/>
    </xf>
    <xf numFmtId="0" fontId="1" fillId="25" borderId="50" xfId="59" applyFont="1" applyFill="1" applyBorder="1" applyAlignment="1">
      <alignment horizontal="center" wrapText="1"/>
      <protection/>
    </xf>
    <xf numFmtId="0" fontId="43" fillId="25" borderId="21" xfId="60" applyFont="1" applyFill="1" applyBorder="1" applyAlignment="1">
      <alignment horizontal="center" vertical="center" wrapText="1"/>
      <protection/>
    </xf>
    <xf numFmtId="0" fontId="43" fillId="25" borderId="59" xfId="60" applyFont="1" applyFill="1" applyBorder="1" applyAlignment="1">
      <alignment horizontal="center" vertical="center" wrapText="1"/>
      <protection/>
    </xf>
    <xf numFmtId="0" fontId="11" fillId="0" borderId="0" xfId="62" applyFont="1" applyAlignment="1">
      <alignment horizontal="left" vertical="center"/>
      <protection/>
    </xf>
    <xf numFmtId="177" fontId="11" fillId="0" borderId="0" xfId="42" applyNumberFormat="1" applyFont="1" applyAlignment="1">
      <alignment horizontal="center" vertical="center" wrapText="1"/>
    </xf>
    <xf numFmtId="0" fontId="44" fillId="0" borderId="0" xfId="62" applyFont="1" applyAlignment="1">
      <alignment horizontal="center" vertical="center" wrapText="1"/>
      <protection/>
    </xf>
    <xf numFmtId="0" fontId="27" fillId="0" borderId="41" xfId="62" applyFont="1" applyBorder="1" applyAlignment="1">
      <alignment horizontal="center" vertical="center" wrapText="1"/>
      <protection/>
    </xf>
    <xf numFmtId="0" fontId="27" fillId="0" borderId="55" xfId="62" applyFont="1" applyBorder="1" applyAlignment="1">
      <alignment horizontal="center" vertical="center" wrapText="1"/>
      <protection/>
    </xf>
    <xf numFmtId="0" fontId="11" fillId="0" borderId="55" xfId="62" applyFont="1" applyBorder="1" applyAlignment="1">
      <alignment horizontal="center" vertical="center" wrapText="1"/>
      <protection/>
    </xf>
    <xf numFmtId="0" fontId="14" fillId="0" borderId="55" xfId="62" applyFont="1" applyBorder="1" applyAlignment="1">
      <alignment horizontal="center" vertical="center" wrapText="1"/>
      <protection/>
    </xf>
    <xf numFmtId="0" fontId="11" fillId="0" borderId="55" xfId="62" applyBorder="1" applyAlignment="1">
      <alignment horizontal="center" vertical="center" wrapText="1"/>
      <protection/>
    </xf>
    <xf numFmtId="0" fontId="27" fillId="0" borderId="44" xfId="62" applyFont="1" applyBorder="1" applyAlignment="1">
      <alignment horizontal="center" vertical="center" wrapText="1"/>
      <protection/>
    </xf>
    <xf numFmtId="0" fontId="27" fillId="0" borderId="59" xfId="62" applyFont="1" applyBorder="1" applyAlignment="1">
      <alignment horizontal="center" vertical="center" wrapText="1"/>
      <protection/>
    </xf>
    <xf numFmtId="0" fontId="11" fillId="0" borderId="59" xfId="62" applyBorder="1" applyAlignment="1">
      <alignment horizontal="center" vertical="center" wrapText="1"/>
      <protection/>
    </xf>
    <xf numFmtId="0" fontId="11" fillId="0" borderId="63" xfId="62" applyFont="1" applyBorder="1" applyAlignment="1">
      <alignment horizontal="center" vertical="center" wrapText="1"/>
      <protection/>
    </xf>
    <xf numFmtId="0" fontId="11" fillId="0" borderId="73" xfId="62" applyFont="1" applyBorder="1" applyAlignment="1">
      <alignment horizontal="center" vertical="center" wrapText="1"/>
      <protection/>
    </xf>
    <xf numFmtId="0" fontId="33" fillId="0" borderId="74" xfId="62" applyFont="1" applyBorder="1" applyAlignment="1">
      <alignment horizontal="center" vertical="center" wrapText="1"/>
      <protection/>
    </xf>
    <xf numFmtId="0" fontId="11" fillId="0" borderId="74" xfId="62" applyFont="1" applyBorder="1" applyAlignment="1">
      <alignment horizontal="center" vertical="center" wrapText="1"/>
      <protection/>
    </xf>
    <xf numFmtId="0" fontId="33" fillId="0" borderId="74" xfId="62" applyFont="1" applyBorder="1" applyAlignment="1">
      <alignment horizontal="center" vertical="center" wrapText="1"/>
      <protection/>
    </xf>
    <xf numFmtId="0" fontId="11" fillId="0" borderId="74" xfId="62" applyBorder="1" applyAlignment="1">
      <alignment horizontal="center" vertical="center" wrapText="1"/>
      <protection/>
    </xf>
    <xf numFmtId="0" fontId="11" fillId="0" borderId="73" xfId="62" applyBorder="1" applyAlignment="1">
      <alignment horizontal="center" vertical="center" wrapText="1"/>
      <protection/>
    </xf>
    <xf numFmtId="0" fontId="11" fillId="0" borderId="74" xfId="62" applyFont="1" applyBorder="1" applyAlignment="1">
      <alignment horizontal="center" vertical="center" wrapText="1"/>
      <protection/>
    </xf>
    <xf numFmtId="0" fontId="11" fillId="0" borderId="0" xfId="62" applyFont="1" applyFill="1" applyBorder="1" applyAlignment="1">
      <alignment horizontal="center" vertical="center" wrapText="1"/>
      <protection/>
    </xf>
    <xf numFmtId="0" fontId="11" fillId="29" borderId="44" xfId="62" applyFill="1" applyBorder="1" applyAlignment="1">
      <alignment horizontal="center" vertical="center" wrapText="1"/>
      <protection/>
    </xf>
    <xf numFmtId="0" fontId="11" fillId="29" borderId="47" xfId="62" applyFill="1" applyBorder="1" applyAlignment="1">
      <alignment horizontal="center" vertical="center" wrapText="1"/>
      <protection/>
    </xf>
    <xf numFmtId="0" fontId="11" fillId="30" borderId="21" xfId="62" applyFill="1" applyBorder="1" applyAlignment="1">
      <alignment horizontal="center" vertical="center" wrapText="1"/>
      <protection/>
    </xf>
    <xf numFmtId="0" fontId="11" fillId="29" borderId="21" xfId="62" applyFill="1" applyBorder="1" applyAlignment="1">
      <alignment horizontal="center" vertical="center" wrapText="1"/>
      <protection/>
    </xf>
    <xf numFmtId="0" fontId="11" fillId="31" borderId="21" xfId="62" applyFill="1" applyBorder="1" applyAlignment="1">
      <alignment horizontal="center" vertical="center" wrapText="1"/>
      <protection/>
    </xf>
    <xf numFmtId="0" fontId="11" fillId="32" borderId="32" xfId="62" applyFill="1" applyBorder="1" applyAlignment="1">
      <alignment horizontal="center" vertical="center" wrapText="1"/>
      <protection/>
    </xf>
    <xf numFmtId="0" fontId="11" fillId="32" borderId="21" xfId="62" applyFill="1" applyBorder="1" applyAlignment="1">
      <alignment horizontal="center" vertical="center" wrapText="1"/>
      <protection/>
    </xf>
    <xf numFmtId="0" fontId="11" fillId="29" borderId="50" xfId="62" applyFill="1" applyBorder="1" applyAlignment="1">
      <alignment horizontal="center" vertical="center" wrapText="1"/>
      <protection/>
    </xf>
    <xf numFmtId="0" fontId="11" fillId="31" borderId="50" xfId="62" applyFill="1" applyBorder="1" applyAlignment="1">
      <alignment horizontal="center" vertical="center" wrapText="1"/>
      <protection/>
    </xf>
    <xf numFmtId="0" fontId="11" fillId="0" borderId="0" xfId="62" applyFont="1" applyFill="1" applyAlignment="1">
      <alignment vertical="center" wrapText="1"/>
      <protection/>
    </xf>
    <xf numFmtId="0" fontId="45" fillId="0" borderId="0" xfId="62" applyFont="1" applyFill="1" applyAlignment="1">
      <alignment vertical="center" wrapText="1"/>
      <protection/>
    </xf>
    <xf numFmtId="0" fontId="40" fillId="26" borderId="24" xfId="64" applyFont="1" applyFill="1" applyBorder="1" applyAlignment="1">
      <alignment horizontal="center" vertical="center" wrapText="1"/>
      <protection/>
    </xf>
    <xf numFmtId="0" fontId="11" fillId="26" borderId="25" xfId="62" applyFont="1" applyFill="1" applyBorder="1" applyAlignment="1">
      <alignment horizontal="center" vertical="center" wrapText="1"/>
      <protection/>
    </xf>
    <xf numFmtId="0" fontId="11" fillId="26" borderId="26" xfId="62" applyFont="1" applyFill="1" applyBorder="1" applyAlignment="1">
      <alignment horizontal="center" vertical="center" wrapText="1"/>
      <protection/>
    </xf>
    <xf numFmtId="0" fontId="11" fillId="26" borderId="75" xfId="62" applyFont="1" applyFill="1" applyBorder="1" applyAlignment="1">
      <alignment horizontal="center" vertical="center" wrapText="1"/>
      <protection/>
    </xf>
    <xf numFmtId="0" fontId="27" fillId="26" borderId="24" xfId="64" applyFont="1" applyFill="1" applyBorder="1" applyAlignment="1">
      <alignment horizontal="center" vertical="center" wrapText="1"/>
      <protection/>
    </xf>
    <xf numFmtId="0" fontId="27" fillId="26" borderId="76" xfId="64" applyFont="1" applyFill="1" applyBorder="1" applyAlignment="1">
      <alignment horizontal="center" vertical="center" wrapText="1"/>
      <protection/>
    </xf>
    <xf numFmtId="0" fontId="27" fillId="26" borderId="30" xfId="62" applyFont="1" applyFill="1" applyBorder="1" applyAlignment="1">
      <alignment horizontal="center" vertical="center" wrapText="1"/>
      <protection/>
    </xf>
    <xf numFmtId="0" fontId="27" fillId="26" borderId="77" xfId="62" applyFont="1" applyFill="1" applyBorder="1" applyAlignment="1">
      <alignment horizontal="center" vertical="center" wrapText="1"/>
      <protection/>
    </xf>
    <xf numFmtId="0" fontId="27" fillId="26" borderId="33" xfId="62" applyFont="1" applyFill="1" applyBorder="1" applyAlignment="1">
      <alignment horizontal="center" vertical="center" wrapText="1"/>
      <protection/>
    </xf>
    <xf numFmtId="0" fontId="11" fillId="26" borderId="0" xfId="64" applyFont="1" applyFill="1" applyAlignment="1">
      <alignment vertical="center" wrapText="1"/>
      <protection/>
    </xf>
    <xf numFmtId="0" fontId="11" fillId="26" borderId="0" xfId="62" applyFill="1" applyAlignment="1">
      <alignment horizontal="left" vertical="center"/>
      <protection/>
    </xf>
    <xf numFmtId="0" fontId="11" fillId="26" borderId="0" xfId="64" applyFont="1" applyFill="1" applyAlignment="1">
      <alignment horizontal="center" vertical="center" wrapText="1"/>
      <protection/>
    </xf>
    <xf numFmtId="0" fontId="28" fillId="26" borderId="74" xfId="62" applyFont="1" applyFill="1" applyBorder="1" applyAlignment="1" applyProtection="1">
      <alignment horizontal="center" vertical="center" wrapText="1"/>
      <protection locked="0"/>
    </xf>
    <xf numFmtId="0" fontId="11" fillId="32" borderId="44" xfId="62" applyFill="1" applyBorder="1" applyAlignment="1">
      <alignment horizontal="center" vertical="center" wrapText="1"/>
      <protection/>
    </xf>
    <xf numFmtId="0" fontId="11" fillId="31" borderId="32" xfId="62" applyFill="1" applyBorder="1" applyAlignment="1">
      <alignment horizontal="center" vertical="center" wrapText="1"/>
      <protection/>
    </xf>
    <xf numFmtId="0" fontId="11" fillId="30" borderId="32" xfId="62" applyFill="1" applyBorder="1" applyAlignment="1">
      <alignment horizontal="center" vertical="center" wrapText="1"/>
      <protection/>
    </xf>
    <xf numFmtId="0" fontId="11" fillId="0" borderId="0" xfId="64" applyFont="1" applyAlignment="1" quotePrefix="1">
      <alignment horizontal="center" vertical="center"/>
      <protection/>
    </xf>
    <xf numFmtId="0" fontId="11" fillId="24" borderId="0" xfId="64" applyFont="1" applyFill="1" applyAlignment="1">
      <alignment horizontal="center" vertical="center" wrapText="1"/>
      <protection/>
    </xf>
    <xf numFmtId="0" fontId="1" fillId="22" borderId="0" xfId="62" applyFont="1" applyFill="1" applyAlignment="1">
      <alignment horizontal="center" vertical="center" wrapText="1"/>
      <protection/>
    </xf>
    <xf numFmtId="0" fontId="11" fillId="0" borderId="0" xfId="62" applyFont="1" applyAlignment="1">
      <alignment vertical="top" wrapText="1"/>
      <protection/>
    </xf>
    <xf numFmtId="0" fontId="11" fillId="0" borderId="0" xfId="64" applyFont="1" applyAlignment="1" quotePrefix="1">
      <alignment vertical="center" wrapText="1"/>
      <protection/>
    </xf>
    <xf numFmtId="0" fontId="11" fillId="10" borderId="59" xfId="64" applyFont="1" applyFill="1" applyBorder="1" applyAlignment="1">
      <alignment horizontal="center" vertical="center" wrapText="1"/>
      <protection/>
    </xf>
    <xf numFmtId="177" fontId="11" fillId="0" borderId="0" xfId="42" applyNumberFormat="1" applyFont="1" applyAlignment="1">
      <alignment vertical="center" wrapText="1"/>
    </xf>
    <xf numFmtId="177" fontId="11" fillId="0" borderId="0" xfId="64" applyNumberFormat="1" applyFont="1" applyAlignment="1">
      <alignment vertical="center" wrapText="1"/>
      <protection/>
    </xf>
    <xf numFmtId="197" fontId="11" fillId="0" borderId="78" xfId="42" applyNumberFormat="1" applyFont="1" applyBorder="1" applyAlignment="1">
      <alignment horizontal="center" vertical="center" wrapText="1"/>
    </xf>
    <xf numFmtId="197" fontId="11" fillId="0" borderId="79" xfId="42" applyNumberFormat="1" applyFont="1" applyBorder="1" applyAlignment="1">
      <alignment horizontal="center" vertical="center" wrapText="1"/>
    </xf>
    <xf numFmtId="197" fontId="11" fillId="0" borderId="34" xfId="42" applyNumberFormat="1" applyFont="1" applyBorder="1" applyAlignment="1">
      <alignment horizontal="center" vertical="center" wrapText="1"/>
    </xf>
    <xf numFmtId="197" fontId="11" fillId="0" borderId="38" xfId="42" applyNumberFormat="1" applyFont="1" applyBorder="1" applyAlignment="1">
      <alignment horizontal="center" vertical="center" wrapText="1"/>
    </xf>
    <xf numFmtId="197" fontId="11" fillId="0" borderId="0" xfId="42" applyNumberFormat="1" applyFont="1" applyBorder="1" applyAlignment="1">
      <alignment horizontal="center" vertical="center" wrapText="1"/>
    </xf>
    <xf numFmtId="197" fontId="11" fillId="0" borderId="80" xfId="42" applyNumberFormat="1" applyFont="1" applyBorder="1" applyAlignment="1">
      <alignment horizontal="center" vertical="center" wrapText="1"/>
    </xf>
    <xf numFmtId="197" fontId="11" fillId="0" borderId="81" xfId="42" applyNumberFormat="1" applyFont="1" applyBorder="1" applyAlignment="1">
      <alignment horizontal="center" vertical="center" wrapText="1"/>
    </xf>
    <xf numFmtId="197" fontId="11" fillId="0" borderId="82" xfId="42" applyNumberFormat="1" applyFont="1" applyBorder="1" applyAlignment="1">
      <alignment horizontal="center" vertical="center" wrapText="1"/>
    </xf>
    <xf numFmtId="197" fontId="11" fillId="0" borderId="28" xfId="42" applyNumberFormat="1" applyFont="1" applyBorder="1" applyAlignment="1">
      <alignment horizontal="center" vertical="center" wrapText="1"/>
    </xf>
    <xf numFmtId="0" fontId="0" fillId="8" borderId="0" xfId="0" applyFill="1" applyAlignment="1" applyProtection="1">
      <alignment/>
      <protection locked="0"/>
    </xf>
    <xf numFmtId="0" fontId="11" fillId="10" borderId="83" xfId="64" applyFont="1" applyFill="1" applyBorder="1" applyAlignment="1">
      <alignment horizontal="center" vertical="center" wrapText="1"/>
      <protection/>
    </xf>
    <xf numFmtId="0" fontId="13" fillId="33" borderId="30" xfId="64" applyFont="1" applyFill="1" applyBorder="1" applyAlignment="1">
      <alignment horizontal="center" vertical="center" wrapText="1"/>
      <protection/>
    </xf>
    <xf numFmtId="0" fontId="46" fillId="0" borderId="24" xfId="60" applyFont="1" applyBorder="1" applyAlignment="1">
      <alignment horizontal="right" vertical="center" wrapText="1"/>
      <protection/>
    </xf>
    <xf numFmtId="0" fontId="10" fillId="0" borderId="26" xfId="60" applyFont="1" applyBorder="1" applyAlignment="1">
      <alignment horizontal="center" vertical="center" wrapText="1"/>
      <protection/>
    </xf>
    <xf numFmtId="0" fontId="43" fillId="10" borderId="59" xfId="60" applyFont="1" applyFill="1" applyBorder="1" applyAlignment="1">
      <alignment horizontal="center" vertical="center" wrapText="1"/>
      <protection/>
    </xf>
    <xf numFmtId="0" fontId="43" fillId="24" borderId="21" xfId="60" applyFont="1" applyFill="1" applyBorder="1" applyAlignment="1">
      <alignment horizontal="center" vertical="center" wrapText="1"/>
      <protection/>
    </xf>
    <xf numFmtId="0" fontId="43" fillId="10" borderId="21" xfId="60" applyFont="1" applyFill="1" applyBorder="1" applyAlignment="1">
      <alignment horizontal="center" vertical="center" wrapText="1"/>
      <protection/>
    </xf>
    <xf numFmtId="0" fontId="43" fillId="15" borderId="21" xfId="60" applyFont="1" applyFill="1" applyBorder="1" applyAlignment="1">
      <alignment horizontal="center" vertical="center" wrapText="1"/>
      <protection/>
    </xf>
    <xf numFmtId="0" fontId="43" fillId="15" borderId="63" xfId="60" applyFont="1" applyFill="1" applyBorder="1" applyAlignment="1">
      <alignment horizontal="center" vertical="center" wrapText="1"/>
      <protection/>
    </xf>
    <xf numFmtId="0" fontId="43" fillId="24" borderId="63" xfId="60" applyFont="1" applyFill="1" applyBorder="1" applyAlignment="1">
      <alignment horizontal="center" vertical="center" wrapText="1"/>
      <protection/>
    </xf>
    <xf numFmtId="0" fontId="43" fillId="10" borderId="63" xfId="60" applyFont="1" applyFill="1" applyBorder="1" applyAlignment="1">
      <alignment horizontal="center" vertical="center" wrapText="1"/>
      <protection/>
    </xf>
    <xf numFmtId="0" fontId="43" fillId="10" borderId="50" xfId="60" applyFont="1" applyFill="1" applyBorder="1" applyAlignment="1">
      <alignment horizontal="center" vertical="center" wrapText="1"/>
      <protection/>
    </xf>
    <xf numFmtId="0" fontId="43" fillId="10" borderId="29" xfId="60" applyFont="1" applyFill="1" applyBorder="1" applyAlignment="1">
      <alignment horizontal="center" vertical="center" wrapText="1"/>
      <protection/>
    </xf>
    <xf numFmtId="0" fontId="43" fillId="24" borderId="32" xfId="60" applyFont="1" applyFill="1" applyBorder="1" applyAlignment="1">
      <alignment horizontal="center" vertical="center" wrapText="1"/>
      <protection/>
    </xf>
    <xf numFmtId="0" fontId="43" fillId="10" borderId="32" xfId="60" applyFont="1" applyFill="1" applyBorder="1" applyAlignment="1">
      <alignment horizontal="center" vertical="center" wrapText="1"/>
      <protection/>
    </xf>
    <xf numFmtId="0" fontId="43" fillId="17" borderId="32" xfId="60" applyFont="1" applyFill="1" applyBorder="1" applyAlignment="1">
      <alignment horizontal="center" vertical="center" wrapText="1"/>
      <protection/>
    </xf>
    <xf numFmtId="0" fontId="43" fillId="17" borderId="35" xfId="60" applyFont="1" applyFill="1" applyBorder="1" applyAlignment="1">
      <alignment horizontal="center" vertical="center" wrapText="1"/>
      <protection/>
    </xf>
    <xf numFmtId="0" fontId="43" fillId="25" borderId="29" xfId="60" applyFont="1" applyFill="1" applyBorder="1" applyAlignment="1">
      <alignment horizontal="center" vertical="center" wrapText="1"/>
      <protection/>
    </xf>
    <xf numFmtId="0" fontId="43" fillId="25" borderId="32" xfId="60" applyFont="1" applyFill="1" applyBorder="1" applyAlignment="1">
      <alignment horizontal="center" vertical="center" wrapText="1"/>
      <protection/>
    </xf>
    <xf numFmtId="0" fontId="43" fillId="24" borderId="35" xfId="60" applyFont="1" applyFill="1" applyBorder="1" applyAlignment="1">
      <alignment horizontal="center" vertical="center" wrapText="1"/>
      <protection/>
    </xf>
    <xf numFmtId="0" fontId="43" fillId="15" borderId="32" xfId="60" applyFont="1" applyFill="1" applyBorder="1" applyAlignment="1">
      <alignment horizontal="center" vertical="center" wrapText="1"/>
      <protection/>
    </xf>
    <xf numFmtId="0" fontId="43" fillId="10" borderId="35" xfId="60" applyFont="1" applyFill="1" applyBorder="1" applyAlignment="1">
      <alignment horizontal="center" vertical="center" wrapText="1"/>
      <protection/>
    </xf>
    <xf numFmtId="0" fontId="43" fillId="10" borderId="37" xfId="60" applyFont="1" applyFill="1" applyBorder="1" applyAlignment="1">
      <alignment horizontal="center" vertical="center" wrapText="1"/>
      <protection/>
    </xf>
    <xf numFmtId="0" fontId="43" fillId="17" borderId="21" xfId="60" applyFont="1" applyFill="1" applyBorder="1" applyAlignment="1">
      <alignment horizontal="center" vertical="center" wrapText="1"/>
      <protection/>
    </xf>
    <xf numFmtId="0" fontId="1" fillId="24" borderId="0" xfId="60" applyFill="1" applyAlignment="1" applyProtection="1">
      <alignment vertical="center" wrapText="1"/>
      <protection hidden="1"/>
    </xf>
    <xf numFmtId="0" fontId="1" fillId="24" borderId="0" xfId="60" applyFill="1" applyAlignment="1">
      <alignment vertical="center" wrapText="1"/>
      <protection/>
    </xf>
    <xf numFmtId="0" fontId="26" fillId="24" borderId="0" xfId="60" applyFont="1" applyFill="1" applyAlignment="1">
      <alignment horizontal="center" vertical="center" wrapText="1"/>
      <protection/>
    </xf>
    <xf numFmtId="0" fontId="1" fillId="24" borderId="0" xfId="60" applyFill="1" applyAlignment="1">
      <alignment horizontal="center" vertical="center" wrapText="1"/>
      <protection/>
    </xf>
    <xf numFmtId="0" fontId="16" fillId="0" borderId="0" xfId="64" applyFont="1" applyAlignment="1">
      <alignment horizontal="center" vertical="center" wrapText="1"/>
      <protection/>
    </xf>
    <xf numFmtId="0" fontId="11" fillId="24" borderId="0" xfId="64" applyFont="1" applyFill="1" applyAlignment="1">
      <alignment vertical="center" wrapText="1"/>
      <protection/>
    </xf>
    <xf numFmtId="0" fontId="5" fillId="10" borderId="59" xfId="60" applyFont="1" applyFill="1" applyBorder="1" applyAlignment="1">
      <alignment horizontal="center" vertical="center" wrapText="1"/>
      <protection/>
    </xf>
    <xf numFmtId="0" fontId="5" fillId="24" borderId="21" xfId="60" applyFont="1" applyFill="1" applyBorder="1" applyAlignment="1">
      <alignment horizontal="center" vertical="center" wrapText="1"/>
      <protection/>
    </xf>
    <xf numFmtId="0" fontId="5" fillId="10" borderId="50" xfId="60" applyFont="1" applyFill="1" applyBorder="1" applyAlignment="1">
      <alignment horizontal="center" vertical="center" wrapText="1"/>
      <protection/>
    </xf>
    <xf numFmtId="0" fontId="5" fillId="10" borderId="21" xfId="60" applyFont="1" applyFill="1" applyBorder="1" applyAlignment="1">
      <alignment horizontal="center" vertical="center" wrapText="1"/>
      <protection/>
    </xf>
    <xf numFmtId="0" fontId="5" fillId="24" borderId="63" xfId="60" applyFont="1" applyFill="1" applyBorder="1" applyAlignment="1">
      <alignment horizontal="center" vertical="center" wrapText="1"/>
      <protection/>
    </xf>
    <xf numFmtId="0" fontId="5" fillId="25" borderId="59" xfId="60" applyFont="1" applyFill="1" applyBorder="1" applyAlignment="1">
      <alignment horizontal="center" vertical="center" wrapText="1"/>
      <protection/>
    </xf>
    <xf numFmtId="0" fontId="5" fillId="25" borderId="21" xfId="60" applyFont="1" applyFill="1" applyBorder="1" applyAlignment="1">
      <alignment horizontal="center" vertical="center" wrapText="1"/>
      <protection/>
    </xf>
    <xf numFmtId="40" fontId="11" fillId="0" borderId="0" xfId="42" applyFont="1" applyAlignment="1">
      <alignment horizontal="center" vertical="center" wrapText="1"/>
    </xf>
    <xf numFmtId="0" fontId="43" fillId="17" borderId="63" xfId="60" applyFont="1" applyFill="1" applyBorder="1" applyAlignment="1">
      <alignment horizontal="center" vertical="center" wrapText="1"/>
      <protection/>
    </xf>
    <xf numFmtId="0" fontId="43" fillId="15" borderId="50" xfId="60" applyFont="1" applyFill="1" applyBorder="1" applyAlignment="1">
      <alignment horizontal="center" vertical="center" wrapText="1"/>
      <protection/>
    </xf>
    <xf numFmtId="0" fontId="43" fillId="24" borderId="50" xfId="60" applyFont="1" applyFill="1" applyBorder="1" applyAlignment="1">
      <alignment horizontal="center" vertical="center" wrapText="1"/>
      <protection/>
    </xf>
    <xf numFmtId="0" fontId="43" fillId="25" borderId="63" xfId="60" applyFont="1" applyFill="1" applyBorder="1" applyAlignment="1">
      <alignment horizontal="center" vertical="center" wrapText="1"/>
      <protection/>
    </xf>
    <xf numFmtId="0" fontId="43" fillId="24" borderId="59" xfId="60" applyFont="1" applyFill="1" applyBorder="1" applyAlignment="1">
      <alignment horizontal="center" vertical="center" wrapText="1"/>
      <protection/>
    </xf>
    <xf numFmtId="0" fontId="5" fillId="25" borderId="63" xfId="60" applyFont="1" applyFill="1" applyBorder="1" applyAlignment="1">
      <alignment horizontal="center" vertical="center" wrapText="1"/>
      <protection/>
    </xf>
    <xf numFmtId="0" fontId="6" fillId="22" borderId="12" xfId="58" applyNumberFormat="1" applyFont="1" applyFill="1" applyBorder="1" applyAlignment="1">
      <alignment vertical="top" wrapText="1"/>
      <protection/>
    </xf>
    <xf numFmtId="0" fontId="13" fillId="25" borderId="57" xfId="64" applyFont="1" applyFill="1" applyBorder="1" applyAlignment="1">
      <alignment horizontal="center" vertical="center" wrapText="1"/>
      <protection/>
    </xf>
    <xf numFmtId="0" fontId="11" fillId="25" borderId="84" xfId="64" applyFont="1" applyFill="1" applyBorder="1" applyAlignment="1">
      <alignment horizontal="center" vertical="center" wrapText="1"/>
      <protection/>
    </xf>
    <xf numFmtId="0" fontId="11" fillId="32" borderId="43" xfId="62" applyFill="1" applyBorder="1" applyAlignment="1">
      <alignment horizontal="center" vertical="center" wrapText="1"/>
      <protection/>
    </xf>
    <xf numFmtId="0" fontId="11" fillId="32" borderId="37" xfId="62" applyFill="1" applyBorder="1" applyAlignment="1">
      <alignment horizontal="center" vertical="center" wrapText="1"/>
      <protection/>
    </xf>
    <xf numFmtId="0" fontId="0" fillId="25" borderId="32" xfId="0" applyFont="1" applyFill="1" applyBorder="1" applyAlignment="1">
      <alignment horizontal="center" vertical="center"/>
    </xf>
    <xf numFmtId="0" fontId="0" fillId="17" borderId="32" xfId="0" applyFont="1" applyFill="1" applyBorder="1" applyAlignment="1">
      <alignment horizontal="center" vertical="center"/>
    </xf>
    <xf numFmtId="0" fontId="0" fillId="15" borderId="32" xfId="0" applyFont="1" applyFill="1" applyBorder="1" applyAlignment="1">
      <alignment horizontal="center" vertical="center"/>
    </xf>
    <xf numFmtId="0" fontId="0" fillId="10" borderId="32" xfId="0" applyFont="1" applyFill="1" applyBorder="1" applyAlignment="1">
      <alignment horizontal="center" vertical="center"/>
    </xf>
    <xf numFmtId="0" fontId="0" fillId="24" borderId="33" xfId="0" applyFont="1" applyFill="1" applyBorder="1" applyAlignment="1">
      <alignment horizontal="center" vertical="center"/>
    </xf>
    <xf numFmtId="0" fontId="0" fillId="24" borderId="32" xfId="0" applyFont="1" applyFill="1" applyBorder="1" applyAlignment="1">
      <alignment horizontal="center" vertical="center"/>
    </xf>
    <xf numFmtId="0" fontId="11" fillId="10" borderId="63" xfId="64" applyFont="1" applyFill="1" applyBorder="1" applyAlignment="1">
      <alignment horizontal="center" vertical="center" wrapText="1"/>
      <protection/>
    </xf>
    <xf numFmtId="0" fontId="48" fillId="0" borderId="0" xfId="58" applyFont="1">
      <alignment/>
      <protection/>
    </xf>
    <xf numFmtId="0" fontId="49" fillId="8" borderId="0" xfId="0" applyFont="1" applyFill="1" applyAlignment="1">
      <alignment horizontal="center" vertical="center"/>
    </xf>
    <xf numFmtId="0" fontId="49" fillId="8" borderId="0" xfId="0" applyFont="1" applyFill="1" applyAlignment="1">
      <alignment/>
    </xf>
    <xf numFmtId="0" fontId="32" fillId="0" borderId="0" xfId="0" applyFont="1" applyAlignment="1">
      <alignment/>
    </xf>
    <xf numFmtId="49" fontId="10" fillId="8" borderId="0" xfId="62" applyNumberFormat="1" applyFont="1" applyFill="1" applyBorder="1" applyAlignment="1">
      <alignment horizontal="left" vertical="center" wrapText="1"/>
      <protection/>
    </xf>
    <xf numFmtId="0" fontId="32" fillId="8" borderId="0" xfId="0" applyFont="1" applyFill="1" applyAlignment="1">
      <alignment/>
    </xf>
    <xf numFmtId="0" fontId="51" fillId="0" borderId="0" xfId="0" applyFont="1" applyBorder="1" applyAlignment="1">
      <alignment horizontal="right" vertical="center"/>
    </xf>
    <xf numFmtId="0" fontId="52" fillId="0" borderId="7" xfId="0" applyFont="1" applyBorder="1" applyAlignment="1" applyProtection="1">
      <alignment horizontal="center" vertical="top"/>
      <protection locked="0"/>
    </xf>
    <xf numFmtId="0" fontId="53" fillId="8" borderId="0" xfId="0" applyFont="1" applyFill="1" applyAlignment="1">
      <alignment horizontal="left" vertical="center" wrapText="1" indent="2"/>
    </xf>
    <xf numFmtId="0" fontId="54" fillId="8" borderId="0" xfId="0" applyFont="1" applyFill="1" applyAlignment="1">
      <alignment horizontal="left" vertical="center" wrapText="1" indent="2"/>
    </xf>
    <xf numFmtId="0" fontId="1" fillId="8" borderId="0" xfId="0" applyFont="1" applyFill="1" applyBorder="1" applyAlignment="1">
      <alignment horizontal="right" vertical="center"/>
    </xf>
    <xf numFmtId="0" fontId="25" fillId="0" borderId="7" xfId="0" applyFont="1" applyFill="1" applyBorder="1" applyAlignment="1" applyProtection="1">
      <alignment horizontal="center" vertical="center"/>
      <protection locked="0"/>
    </xf>
    <xf numFmtId="0" fontId="49" fillId="8" borderId="0" xfId="0" applyFont="1" applyFill="1" applyBorder="1" applyAlignment="1">
      <alignment horizontal="left"/>
    </xf>
    <xf numFmtId="49" fontId="10" fillId="8" borderId="0" xfId="62" applyNumberFormat="1" applyFont="1" applyFill="1" applyBorder="1" applyAlignment="1">
      <alignment horizontal="left" vertical="center" wrapText="1" indent="1"/>
      <protection/>
    </xf>
    <xf numFmtId="0" fontId="55" fillId="8" borderId="0" xfId="0" applyFont="1" applyFill="1" applyBorder="1" applyAlignment="1">
      <alignment horizontal="right" vertical="center"/>
    </xf>
    <xf numFmtId="0" fontId="25" fillId="0" borderId="7" xfId="0" applyFont="1" applyBorder="1" applyAlignment="1" applyProtection="1">
      <alignment horizontal="center" vertical="center"/>
      <protection locked="0"/>
    </xf>
    <xf numFmtId="0" fontId="57" fillId="0" borderId="0" xfId="0" applyFont="1" applyAlignment="1">
      <alignment horizontal="right"/>
    </xf>
    <xf numFmtId="0" fontId="58" fillId="8" borderId="0" xfId="0" applyFont="1" applyFill="1" applyBorder="1" applyAlignment="1">
      <alignment horizontal="right" vertical="center"/>
    </xf>
    <xf numFmtId="0" fontId="25" fillId="0" borderId="7" xfId="0" applyFont="1" applyBorder="1" applyAlignment="1" applyProtection="1">
      <alignment horizontal="center" vertical="top"/>
      <protection locked="0"/>
    </xf>
    <xf numFmtId="0" fontId="58" fillId="8" borderId="0" xfId="0" applyFont="1" applyFill="1" applyBorder="1" applyAlignment="1">
      <alignment horizontal="right"/>
    </xf>
    <xf numFmtId="0" fontId="57" fillId="0" borderId="0" xfId="0" applyFont="1" applyAlignment="1">
      <alignment horizontal="right" vertical="center"/>
    </xf>
    <xf numFmtId="0" fontId="32" fillId="8" borderId="0" xfId="0" applyFont="1" applyFill="1" applyBorder="1" applyAlignment="1">
      <alignment/>
    </xf>
    <xf numFmtId="49" fontId="10" fillId="8" borderId="0" xfId="62" applyNumberFormat="1" applyFont="1" applyFill="1" applyBorder="1" applyAlignment="1">
      <alignment horizontal="left" vertical="center"/>
      <protection/>
    </xf>
    <xf numFmtId="0" fontId="24" fillId="8" borderId="0" xfId="0" applyFont="1" applyFill="1" applyBorder="1" applyAlignment="1">
      <alignment horizontal="right"/>
    </xf>
    <xf numFmtId="0" fontId="25" fillId="8" borderId="0" xfId="0" applyFont="1" applyFill="1" applyBorder="1" applyAlignment="1">
      <alignment horizontal="center" vertical="center"/>
    </xf>
    <xf numFmtId="0" fontId="25" fillId="8" borderId="0" xfId="0" applyFont="1" applyFill="1" applyBorder="1" applyAlignment="1" applyProtection="1">
      <alignment horizontal="center" vertical="top"/>
      <protection locked="0"/>
    </xf>
    <xf numFmtId="0" fontId="25" fillId="8" borderId="0" xfId="0" applyFont="1" applyFill="1" applyBorder="1" applyAlignment="1" applyProtection="1">
      <alignment horizontal="center" vertical="center"/>
      <protection hidden="1"/>
    </xf>
    <xf numFmtId="49" fontId="1" fillId="8" borderId="0" xfId="62" applyNumberFormat="1" applyFont="1" applyFill="1" applyBorder="1" applyAlignment="1">
      <alignment horizontal="right" vertical="center" wrapText="1"/>
      <protection/>
    </xf>
    <xf numFmtId="0" fontId="25" fillId="0" borderId="0" xfId="0" applyFont="1" applyBorder="1" applyAlignment="1" applyProtection="1">
      <alignment horizontal="center" vertical="center"/>
      <protection locked="0"/>
    </xf>
    <xf numFmtId="0" fontId="1" fillId="8" borderId="0" xfId="62" applyFont="1" applyFill="1" applyBorder="1" applyAlignment="1">
      <alignment horizontal="right" vertical="center" wrapText="1"/>
      <protection/>
    </xf>
    <xf numFmtId="0" fontId="25" fillId="8" borderId="0" xfId="0" applyFont="1" applyFill="1" applyBorder="1" applyAlignment="1" applyProtection="1">
      <alignment horizontal="center" vertical="center"/>
      <protection/>
    </xf>
    <xf numFmtId="0" fontId="26" fillId="8" borderId="0" xfId="62" applyFont="1" applyFill="1" applyBorder="1" applyAlignment="1">
      <alignment horizontal="center" vertical="center" wrapText="1"/>
      <protection/>
    </xf>
    <xf numFmtId="0" fontId="1" fillId="8" borderId="0" xfId="62" applyFont="1" applyFill="1" applyBorder="1" applyAlignment="1">
      <alignment horizontal="center" vertical="center" wrapText="1"/>
      <protection/>
    </xf>
    <xf numFmtId="0" fontId="51" fillId="24" borderId="0" xfId="62" applyFont="1" applyFill="1" applyBorder="1" applyAlignment="1">
      <alignment horizontal="center" vertical="center" wrapText="1"/>
      <protection/>
    </xf>
    <xf numFmtId="0" fontId="51" fillId="8" borderId="0" xfId="62" applyFont="1" applyFill="1" applyBorder="1" applyAlignment="1">
      <alignment horizontal="center" vertical="center" wrapText="1"/>
      <protection/>
    </xf>
    <xf numFmtId="0" fontId="51" fillId="8" borderId="0" xfId="62" applyFont="1" applyFill="1" applyBorder="1" applyAlignment="1">
      <alignment horizontal="right" vertical="center" wrapText="1"/>
      <protection/>
    </xf>
    <xf numFmtId="0" fontId="25" fillId="0" borderId="0" xfId="0" applyFont="1" applyBorder="1" applyAlignment="1" applyProtection="1">
      <alignment horizontal="center" vertical="center" wrapText="1"/>
      <protection locked="0"/>
    </xf>
    <xf numFmtId="0" fontId="32" fillId="8" borderId="0" xfId="0" applyFont="1" applyFill="1" applyAlignment="1" quotePrefix="1">
      <alignment/>
    </xf>
    <xf numFmtId="9" fontId="25" fillId="0" borderId="0" xfId="67" applyFont="1" applyBorder="1" applyAlignment="1" applyProtection="1">
      <alignment horizontal="center" vertical="center"/>
      <protection locked="0"/>
    </xf>
    <xf numFmtId="0" fontId="60" fillId="8" borderId="0" xfId="0" applyFont="1" applyFill="1" applyAlignment="1">
      <alignment horizontal="center" vertical="center"/>
    </xf>
    <xf numFmtId="0" fontId="1" fillId="22" borderId="11" xfId="58" applyFont="1" applyFill="1" applyBorder="1">
      <alignment/>
      <protection/>
    </xf>
    <xf numFmtId="0" fontId="10" fillId="22" borderId="12" xfId="58" applyFont="1" applyFill="1" applyBorder="1">
      <alignment/>
      <protection/>
    </xf>
    <xf numFmtId="0" fontId="1" fillId="22" borderId="85" xfId="58" applyFont="1" applyFill="1" applyBorder="1">
      <alignment/>
      <protection/>
    </xf>
    <xf numFmtId="0" fontId="10" fillId="22" borderId="86" xfId="58" applyFont="1" applyFill="1" applyBorder="1">
      <alignment/>
      <protection/>
    </xf>
    <xf numFmtId="0" fontId="1" fillId="22" borderId="86" xfId="58" applyNumberFormat="1" applyFont="1" applyFill="1" applyBorder="1" applyAlignment="1">
      <alignment vertical="top" wrapText="1"/>
      <protection/>
    </xf>
    <xf numFmtId="0" fontId="1" fillId="22" borderId="12" xfId="58" applyFont="1" applyFill="1" applyBorder="1" applyAlignment="1">
      <alignment vertical="top" wrapText="1"/>
      <protection/>
    </xf>
    <xf numFmtId="0" fontId="1" fillId="0" borderId="0" xfId="58" applyFont="1">
      <alignment/>
      <protection/>
    </xf>
    <xf numFmtId="0" fontId="1" fillId="22" borderId="87" xfId="58" applyFont="1" applyFill="1" applyBorder="1">
      <alignment/>
      <protection/>
    </xf>
    <xf numFmtId="0" fontId="10" fillId="22" borderId="88" xfId="58" applyFont="1" applyFill="1" applyBorder="1">
      <alignment/>
      <protection/>
    </xf>
    <xf numFmtId="0" fontId="1" fillId="22" borderId="88" xfId="58" applyNumberFormat="1" applyFont="1" applyFill="1" applyBorder="1" applyAlignment="1">
      <alignment vertical="top" wrapText="1"/>
      <protection/>
    </xf>
    <xf numFmtId="0" fontId="10" fillId="22" borderId="12" xfId="58" applyNumberFormat="1" applyFont="1" applyFill="1" applyBorder="1" applyAlignment="1">
      <alignment vertical="top" wrapText="1"/>
      <protection/>
    </xf>
    <xf numFmtId="0" fontId="1" fillId="22" borderId="12" xfId="58" applyNumberFormat="1" applyFont="1" applyFill="1" applyBorder="1" applyAlignment="1">
      <alignment vertical="top" wrapText="1"/>
      <protection/>
    </xf>
    <xf numFmtId="0" fontId="26" fillId="22" borderId="12" xfId="58" applyNumberFormat="1" applyFont="1" applyFill="1" applyBorder="1" applyAlignment="1">
      <alignment vertical="top" wrapText="1"/>
      <protection/>
    </xf>
    <xf numFmtId="0" fontId="48" fillId="22" borderId="12" xfId="58" applyFont="1" applyFill="1" applyBorder="1">
      <alignment/>
      <protection/>
    </xf>
    <xf numFmtId="9" fontId="63" fillId="8" borderId="89" xfId="67" applyFont="1" applyFill="1" applyBorder="1" applyAlignment="1" applyProtection="1">
      <alignment horizontal="center" vertical="top"/>
      <protection hidden="1"/>
    </xf>
    <xf numFmtId="0" fontId="11" fillId="10" borderId="32" xfId="64" applyFont="1" applyFill="1" applyBorder="1" applyAlignment="1">
      <alignment horizontal="center" vertical="center" wrapText="1"/>
      <protection/>
    </xf>
    <xf numFmtId="0" fontId="11" fillId="25" borderId="32" xfId="64" applyFont="1" applyFill="1" applyBorder="1" applyAlignment="1">
      <alignment horizontal="center" vertical="center" wrapText="1"/>
      <protection/>
    </xf>
    <xf numFmtId="0" fontId="13" fillId="10" borderId="57" xfId="64" applyFont="1" applyFill="1" applyBorder="1" applyAlignment="1">
      <alignment horizontal="center" vertical="center" wrapText="1"/>
      <protection/>
    </xf>
    <xf numFmtId="0" fontId="11" fillId="10" borderId="60" xfId="64" applyFont="1" applyFill="1" applyBorder="1" applyAlignment="1">
      <alignment horizontal="center" vertical="center" wrapText="1"/>
      <protection/>
    </xf>
    <xf numFmtId="0" fontId="11" fillId="0" borderId="0" xfId="64" applyFont="1" applyAlignment="1">
      <alignment vertical="center" wrapText="1"/>
      <protection/>
    </xf>
    <xf numFmtId="0" fontId="48" fillId="22" borderId="12" xfId="58" applyFont="1" applyFill="1" applyBorder="1" applyAlignment="1">
      <alignment horizontal="left"/>
      <protection/>
    </xf>
    <xf numFmtId="0" fontId="10" fillId="22" borderId="12" xfId="58" applyFont="1" applyFill="1" applyBorder="1" applyAlignment="1">
      <alignment horizontal="center"/>
      <protection/>
    </xf>
    <xf numFmtId="0" fontId="11" fillId="26" borderId="63" xfId="64" applyFont="1" applyFill="1" applyBorder="1" applyAlignment="1">
      <alignment horizontal="center" vertical="center" wrapText="1"/>
      <protection/>
    </xf>
    <xf numFmtId="0" fontId="1" fillId="26" borderId="49" xfId="62" applyFont="1" applyFill="1" applyBorder="1" applyAlignment="1" applyProtection="1">
      <alignment horizontal="center" vertical="center" wrapText="1"/>
      <protection hidden="1"/>
    </xf>
    <xf numFmtId="0" fontId="11" fillId="25" borderId="44" xfId="64" applyFont="1" applyFill="1" applyBorder="1" applyAlignment="1">
      <alignment horizontal="center" vertical="center" wrapText="1"/>
      <protection/>
    </xf>
    <xf numFmtId="0" fontId="13" fillId="25" borderId="26" xfId="64" applyFont="1" applyFill="1" applyBorder="1" applyAlignment="1">
      <alignment horizontal="center" vertical="center" wrapText="1"/>
      <protection/>
    </xf>
    <xf numFmtId="0" fontId="13" fillId="25" borderId="52" xfId="64" applyFont="1" applyFill="1" applyBorder="1" applyAlignment="1">
      <alignment horizontal="center" vertical="center" wrapText="1"/>
      <protection/>
    </xf>
    <xf numFmtId="0" fontId="11" fillId="10" borderId="90" xfId="64" applyFont="1" applyFill="1" applyBorder="1" applyAlignment="1">
      <alignment horizontal="center" vertical="center" wrapText="1"/>
      <protection/>
    </xf>
    <xf numFmtId="0" fontId="11" fillId="25" borderId="83" xfId="64" applyFont="1" applyFill="1" applyBorder="1" applyAlignment="1">
      <alignment horizontal="center" vertical="center" wrapText="1"/>
      <protection/>
    </xf>
    <xf numFmtId="0" fontId="3" fillId="22" borderId="12" xfId="53" applyFill="1" applyBorder="1" applyAlignment="1" applyProtection="1">
      <alignment vertical="top" wrapText="1"/>
      <protection/>
    </xf>
    <xf numFmtId="0" fontId="1" fillId="22" borderId="86" xfId="58" applyFont="1" applyFill="1" applyBorder="1" applyAlignment="1">
      <alignment vertical="top" wrapText="1"/>
      <protection/>
    </xf>
    <xf numFmtId="0" fontId="1" fillId="22" borderId="88" xfId="58" applyFont="1" applyFill="1" applyBorder="1" applyAlignment="1">
      <alignment vertical="top" wrapText="1"/>
      <protection/>
    </xf>
    <xf numFmtId="0" fontId="11" fillId="25" borderId="42" xfId="64" applyFont="1" applyFill="1" applyBorder="1" applyAlignment="1">
      <alignment horizontal="center" vertical="center" wrapText="1"/>
      <protection/>
    </xf>
    <xf numFmtId="0" fontId="11" fillId="25" borderId="90" xfId="64" applyFont="1" applyFill="1" applyBorder="1" applyAlignment="1">
      <alignment horizontal="center" vertical="center" wrapText="1"/>
      <protection/>
    </xf>
    <xf numFmtId="0" fontId="1" fillId="22" borderId="12" xfId="58" applyFont="1" applyFill="1" applyBorder="1" applyAlignment="1">
      <alignment horizontal="left" vertical="center" wrapText="1"/>
      <protection/>
    </xf>
    <xf numFmtId="0" fontId="27" fillId="0" borderId="39" xfId="62" applyFont="1" applyBorder="1" applyAlignment="1">
      <alignment horizontal="center" vertical="center"/>
      <protection/>
    </xf>
    <xf numFmtId="0" fontId="27" fillId="0" borderId="91" xfId="62" applyFont="1" applyBorder="1" applyAlignment="1">
      <alignment horizontal="center" vertical="center"/>
      <protection/>
    </xf>
    <xf numFmtId="0" fontId="27" fillId="0" borderId="92" xfId="62" applyFont="1" applyBorder="1" applyAlignment="1">
      <alignment horizontal="center" vertical="center"/>
      <protection/>
    </xf>
    <xf numFmtId="0" fontId="24" fillId="21" borderId="57" xfId="60" applyFont="1" applyFill="1" applyBorder="1" applyAlignment="1">
      <alignment horizontal="center" vertical="center" wrapText="1"/>
      <protection/>
    </xf>
    <xf numFmtId="0" fontId="24" fillId="21" borderId="26" xfId="60" applyFont="1" applyFill="1" applyBorder="1" applyAlignment="1">
      <alignment horizontal="center" vertical="center" wrapText="1"/>
      <protection/>
    </xf>
    <xf numFmtId="0" fontId="27" fillId="0" borderId="46" xfId="62" applyFont="1" applyBorder="1" applyAlignment="1">
      <alignment horizontal="center" vertical="center"/>
      <protection/>
    </xf>
    <xf numFmtId="0" fontId="27" fillId="0" borderId="0" xfId="62" applyFont="1" applyBorder="1" applyAlignment="1">
      <alignment horizontal="center" vertical="center"/>
      <protection/>
    </xf>
    <xf numFmtId="0" fontId="27" fillId="0" borderId="16" xfId="62" applyFont="1" applyBorder="1" applyAlignment="1">
      <alignment horizontal="center" vertical="center"/>
      <protection/>
    </xf>
    <xf numFmtId="0" fontId="11" fillId="29" borderId="42" xfId="62" applyFill="1" applyBorder="1" applyAlignment="1">
      <alignment horizontal="center" vertical="center" wrapText="1"/>
      <protection/>
    </xf>
    <xf numFmtId="0" fontId="27" fillId="0" borderId="69" xfId="62" applyFont="1" applyBorder="1" applyAlignment="1">
      <alignment horizontal="center" vertical="center"/>
      <protection/>
    </xf>
    <xf numFmtId="0" fontId="11" fillId="34" borderId="44" xfId="62" applyFill="1" applyBorder="1" applyAlignment="1">
      <alignment horizontal="center" vertical="center" wrapText="1"/>
      <protection/>
    </xf>
    <xf numFmtId="0" fontId="11" fillId="34" borderId="21" xfId="62" applyFill="1" applyBorder="1" applyAlignment="1">
      <alignment horizontal="center" vertical="center" wrapText="1"/>
      <protection/>
    </xf>
    <xf numFmtId="0" fontId="13" fillId="35" borderId="30" xfId="64" applyFont="1" applyFill="1" applyBorder="1" applyAlignment="1">
      <alignment horizontal="center" vertical="center" wrapText="1"/>
      <protection/>
    </xf>
    <xf numFmtId="0" fontId="11" fillId="29" borderId="49" xfId="62" applyFill="1" applyBorder="1" applyAlignment="1">
      <alignment horizontal="center" vertical="center" wrapText="1"/>
      <protection/>
    </xf>
    <xf numFmtId="0" fontId="11" fillId="34" borderId="50" xfId="62" applyFill="1" applyBorder="1" applyAlignment="1">
      <alignment horizontal="center" vertical="center" wrapText="1"/>
      <protection/>
    </xf>
    <xf numFmtId="0" fontId="11" fillId="10" borderId="67" xfId="64" applyFont="1" applyFill="1" applyBorder="1" applyAlignment="1">
      <alignment horizontal="center" vertical="center" wrapText="1"/>
      <protection/>
    </xf>
    <xf numFmtId="0" fontId="21" fillId="0" borderId="0" xfId="0" applyFont="1" applyAlignment="1">
      <alignment horizontal="center"/>
    </xf>
    <xf numFmtId="0" fontId="21" fillId="0" borderId="0" xfId="0" applyFont="1" applyAlignment="1" applyProtection="1">
      <alignment horizontal="center"/>
      <protection hidden="1"/>
    </xf>
    <xf numFmtId="0" fontId="11" fillId="0" borderId="0" xfId="62" applyFont="1" applyAlignment="1">
      <alignment horizontal="center" vertical="center" wrapText="1"/>
      <protection/>
    </xf>
    <xf numFmtId="0" fontId="11" fillId="0" borderId="0" xfId="62" applyAlignment="1">
      <alignment horizontal="center" vertical="center" wrapText="1"/>
      <protection/>
    </xf>
    <xf numFmtId="0" fontId="33" fillId="0" borderId="26" xfId="62" applyFont="1" applyBorder="1" applyAlignment="1">
      <alignment horizontal="center" vertical="center" wrapText="1"/>
      <protection/>
    </xf>
    <xf numFmtId="0" fontId="27" fillId="0" borderId="70" xfId="62" applyFont="1" applyBorder="1" applyAlignment="1">
      <alignment horizontal="center" vertical="center" wrapText="1"/>
      <protection/>
    </xf>
    <xf numFmtId="0" fontId="27" fillId="0" borderId="25" xfId="62" applyFont="1" applyBorder="1" applyAlignment="1">
      <alignment horizontal="center" vertical="center" wrapText="1"/>
      <protection/>
    </xf>
    <xf numFmtId="0" fontId="33" fillId="0" borderId="26" xfId="62" applyFont="1" applyBorder="1" applyAlignment="1">
      <alignment horizontal="center" vertical="center" wrapText="1"/>
      <protection/>
    </xf>
    <xf numFmtId="0" fontId="27" fillId="0" borderId="70" xfId="62" applyFont="1" applyBorder="1" applyAlignment="1">
      <alignment horizontal="center" vertical="center" wrapText="1"/>
      <protection/>
    </xf>
    <xf numFmtId="0" fontId="1" fillId="0" borderId="0" xfId="61" applyFont="1" applyAlignment="1">
      <alignment horizontal="center"/>
      <protection/>
    </xf>
    <xf numFmtId="0" fontId="18" fillId="0" borderId="64" xfId="61" applyFont="1" applyBorder="1" applyAlignment="1">
      <alignment horizontal="center"/>
      <protection/>
    </xf>
    <xf numFmtId="0" fontId="18" fillId="0" borderId="93" xfId="61" applyFont="1" applyBorder="1" applyAlignment="1">
      <alignment horizontal="center"/>
      <protection/>
    </xf>
    <xf numFmtId="0" fontId="10" fillId="0" borderId="94" xfId="61" applyFont="1" applyBorder="1" applyAlignment="1">
      <alignment horizontal="left"/>
      <protection/>
    </xf>
    <xf numFmtId="0" fontId="10" fillId="0" borderId="95" xfId="61" applyFont="1" applyBorder="1" applyAlignment="1">
      <alignment horizontal="left"/>
      <protection/>
    </xf>
    <xf numFmtId="0" fontId="10" fillId="0" borderId="53" xfId="61" applyFont="1" applyBorder="1" applyAlignment="1">
      <alignment horizontal="left"/>
      <protection/>
    </xf>
    <xf numFmtId="0" fontId="10" fillId="0" borderId="54" xfId="61" applyFont="1" applyBorder="1" applyAlignment="1">
      <alignment horizontal="left"/>
      <protection/>
    </xf>
    <xf numFmtId="0" fontId="10" fillId="0" borderId="96" xfId="61" applyFont="1" applyBorder="1" applyAlignment="1">
      <alignment horizontal="left"/>
      <protection/>
    </xf>
    <xf numFmtId="0" fontId="10" fillId="0" borderId="97" xfId="61" applyFont="1" applyBorder="1" applyAlignment="1">
      <alignment horizontal="left"/>
      <protection/>
    </xf>
    <xf numFmtId="0" fontId="10" fillId="0" borderId="41" xfId="61" applyFont="1" applyBorder="1" applyAlignment="1">
      <alignment horizontal="left"/>
      <protection/>
    </xf>
    <xf numFmtId="0" fontId="10" fillId="0" borderId="98" xfId="61" applyFont="1" applyBorder="1" applyAlignment="1">
      <alignment horizontal="left"/>
      <protection/>
    </xf>
    <xf numFmtId="0" fontId="27" fillId="0" borderId="39" xfId="62" applyFont="1" applyBorder="1" applyAlignment="1">
      <alignment horizontal="center" vertical="center" wrapText="1"/>
      <protection/>
    </xf>
    <xf numFmtId="0" fontId="27" fillId="0" borderId="40" xfId="62" applyFont="1" applyBorder="1" applyAlignment="1">
      <alignment horizontal="center" vertical="center" wrapText="1"/>
      <protection/>
    </xf>
    <xf numFmtId="0" fontId="27" fillId="0" borderId="99" xfId="62" applyFont="1" applyBorder="1" applyAlignment="1">
      <alignment horizontal="center" vertical="center"/>
      <protection/>
    </xf>
    <xf numFmtId="0" fontId="24" fillId="21" borderId="75" xfId="60" applyFont="1" applyFill="1" applyBorder="1" applyAlignment="1">
      <alignment horizontal="center" vertical="center" wrapText="1"/>
      <protection/>
    </xf>
    <xf numFmtId="0" fontId="24" fillId="21" borderId="52" xfId="60" applyFont="1" applyFill="1" applyBorder="1" applyAlignment="1">
      <alignment horizontal="center" vertical="center" wrapText="1"/>
      <protection/>
    </xf>
    <xf numFmtId="0" fontId="10" fillId="21" borderId="57" xfId="60" applyFont="1" applyFill="1" applyBorder="1" applyAlignment="1">
      <alignment horizontal="center" vertical="center" wrapText="1"/>
      <protection/>
    </xf>
    <xf numFmtId="0" fontId="10" fillId="21" borderId="26" xfId="60" applyFont="1" applyFill="1" applyBorder="1" applyAlignment="1">
      <alignment horizontal="center" vertical="center" wrapText="1"/>
      <protection/>
    </xf>
    <xf numFmtId="0" fontId="10" fillId="21" borderId="75" xfId="60" applyFont="1" applyFill="1" applyBorder="1" applyAlignment="1">
      <alignment horizontal="center" vertical="center" wrapText="1"/>
      <protection/>
    </xf>
    <xf numFmtId="0" fontId="10" fillId="21" borderId="52" xfId="60" applyFont="1" applyFill="1" applyBorder="1" applyAlignment="1">
      <alignment horizontal="center" vertical="center" wrapText="1"/>
      <protection/>
    </xf>
    <xf numFmtId="0" fontId="18" fillId="0" borderId="75" xfId="60" applyFont="1" applyBorder="1" applyAlignment="1">
      <alignment horizontal="center" vertical="center" wrapText="1"/>
      <protection/>
    </xf>
    <xf numFmtId="0" fontId="18" fillId="0" borderId="70" xfId="60" applyFont="1" applyBorder="1" applyAlignment="1">
      <alignment horizontal="center" vertical="center" wrapText="1"/>
      <protection/>
    </xf>
    <xf numFmtId="0" fontId="18" fillId="0" borderId="25" xfId="60" applyFont="1" applyBorder="1" applyAlignment="1">
      <alignment horizontal="center" vertical="center" wrapText="1"/>
      <protection/>
    </xf>
    <xf numFmtId="0" fontId="18" fillId="0" borderId="93" xfId="60" applyFont="1" applyBorder="1" applyAlignment="1">
      <alignment horizontal="center" vertical="center" wrapText="1"/>
      <protection/>
    </xf>
    <xf numFmtId="0" fontId="10" fillId="0" borderId="100" xfId="63" applyFont="1" applyBorder="1" applyAlignment="1">
      <alignment horizontal="center" wrapText="1"/>
      <protection/>
    </xf>
    <xf numFmtId="0" fontId="10" fillId="0" borderId="101" xfId="63" applyFont="1" applyBorder="1" applyAlignment="1">
      <alignment horizontal="center" wrapText="1"/>
      <protection/>
    </xf>
    <xf numFmtId="0" fontId="10" fillId="0" borderId="102" xfId="63" applyFont="1" applyBorder="1" applyAlignment="1">
      <alignment horizontal="center" wrapText="1"/>
      <protection/>
    </xf>
    <xf numFmtId="0" fontId="10" fillId="0" borderId="103" xfId="63" applyFont="1" applyBorder="1" applyAlignment="1">
      <alignment horizontal="center" wrapText="1"/>
      <protection/>
    </xf>
    <xf numFmtId="0" fontId="10" fillId="0" borderId="104" xfId="63" applyFont="1" applyBorder="1" applyAlignment="1">
      <alignment horizontal="center"/>
      <protection/>
    </xf>
    <xf numFmtId="0" fontId="10" fillId="0" borderId="105" xfId="63" applyFont="1" applyBorder="1" applyAlignment="1">
      <alignment horizontal="center"/>
      <protection/>
    </xf>
    <xf numFmtId="0" fontId="10" fillId="0" borderId="106" xfId="63" applyFont="1" applyBorder="1" applyAlignment="1">
      <alignment horizontal="center"/>
      <protection/>
    </xf>
    <xf numFmtId="0" fontId="10" fillId="0" borderId="64" xfId="63" applyFont="1" applyBorder="1" applyAlignment="1">
      <alignment horizontal="center" wrapText="1"/>
      <protection/>
    </xf>
    <xf numFmtId="0" fontId="10" fillId="0" borderId="70" xfId="63" applyFont="1" applyBorder="1" applyAlignment="1">
      <alignment horizontal="center" wrapText="1"/>
      <protection/>
    </xf>
    <xf numFmtId="0" fontId="10" fillId="0" borderId="93" xfId="63" applyFont="1" applyBorder="1" applyAlignment="1">
      <alignment horizontal="center" wrapText="1"/>
      <protection/>
    </xf>
    <xf numFmtId="0" fontId="10" fillId="0" borderId="107" xfId="63" applyFont="1" applyBorder="1" applyAlignment="1">
      <alignment horizontal="center" wrapText="1"/>
      <protection/>
    </xf>
    <xf numFmtId="0" fontId="10" fillId="22" borderId="108" xfId="58" applyFont="1" applyFill="1" applyBorder="1" applyAlignment="1">
      <alignment horizontal="center"/>
      <protection/>
    </xf>
    <xf numFmtId="0" fontId="10" fillId="22" borderId="0" xfId="58" applyFont="1" applyFill="1" applyBorder="1" applyAlignment="1">
      <alignment horizontal="center"/>
      <protection/>
    </xf>
    <xf numFmtId="0" fontId="62" fillId="22" borderId="108" xfId="58" applyFont="1" applyFill="1" applyBorder="1" applyAlignment="1">
      <alignment horizontal="center" vertical="center"/>
      <protection/>
    </xf>
    <xf numFmtId="0" fontId="62" fillId="22" borderId="0" xfId="58" applyFont="1" applyFill="1" applyBorder="1" applyAlignment="1">
      <alignment horizontal="center" vertical="center"/>
      <protection/>
    </xf>
    <xf numFmtId="49" fontId="10" fillId="8" borderId="0" xfId="62" applyNumberFormat="1" applyFont="1" applyFill="1" applyBorder="1" applyAlignment="1">
      <alignment horizontal="left" vertical="center" wrapText="1"/>
      <protection/>
    </xf>
    <xf numFmtId="49" fontId="10" fillId="8" borderId="0" xfId="62" applyNumberFormat="1" applyFont="1" applyFill="1" applyBorder="1" applyAlignment="1">
      <alignment horizontal="left" wrapText="1"/>
      <protection/>
    </xf>
    <xf numFmtId="0" fontId="13" fillId="0" borderId="99" xfId="64" applyFont="1" applyBorder="1" applyAlignment="1">
      <alignment horizontal="center" vertical="center" wrapText="1"/>
      <protection/>
    </xf>
    <xf numFmtId="0" fontId="13" fillId="0" borderId="69" xfId="64" applyFont="1" applyBorder="1" applyAlignment="1">
      <alignment horizontal="center" vertical="center" wrapText="1"/>
      <protection/>
    </xf>
    <xf numFmtId="0" fontId="27" fillId="26" borderId="64" xfId="62" applyFont="1" applyFill="1" applyBorder="1" applyAlignment="1">
      <alignment horizontal="center" vertical="center" wrapText="1"/>
      <protection/>
    </xf>
    <xf numFmtId="0" fontId="27" fillId="26" borderId="93" xfId="62" applyFont="1" applyFill="1" applyBorder="1" applyAlignment="1">
      <alignment horizontal="center" vertical="center" wrapText="1"/>
      <protection/>
    </xf>
    <xf numFmtId="0" fontId="37" fillId="0" borderId="91" xfId="64" applyFont="1" applyBorder="1" applyAlignment="1">
      <alignment horizontal="center" vertical="center" wrapText="1"/>
      <protection/>
    </xf>
    <xf numFmtId="0" fontId="0" fillId="0" borderId="20" xfId="0" applyBorder="1" applyAlignment="1">
      <alignment horizontal="center" vertical="center" wrapText="1"/>
    </xf>
    <xf numFmtId="0" fontId="11" fillId="26" borderId="94" xfId="62" applyFont="1" applyFill="1" applyBorder="1" applyAlignment="1">
      <alignment horizontal="right" vertical="center" wrapText="1"/>
      <protection/>
    </xf>
    <xf numFmtId="0" fontId="11" fillId="26" borderId="95" xfId="62" applyFont="1" applyFill="1" applyBorder="1" applyAlignment="1">
      <alignment horizontal="right" vertical="center" wrapText="1"/>
      <protection/>
    </xf>
    <xf numFmtId="0" fontId="11" fillId="26" borderId="41" xfId="62" applyFont="1" applyFill="1" applyBorder="1" applyAlignment="1">
      <alignment horizontal="right" vertical="center" wrapText="1"/>
      <protection/>
    </xf>
    <xf numFmtId="0" fontId="11" fillId="26" borderId="98" xfId="62" applyFont="1" applyFill="1" applyBorder="1" applyAlignment="1">
      <alignment horizontal="right" vertical="center" wrapText="1"/>
      <protection/>
    </xf>
    <xf numFmtId="0" fontId="11" fillId="26" borderId="96" xfId="62" applyFont="1" applyFill="1" applyBorder="1" applyAlignment="1">
      <alignment horizontal="right" vertical="center" wrapText="1"/>
      <protection/>
    </xf>
    <xf numFmtId="0" fontId="11" fillId="26" borderId="97" xfId="62" applyFont="1" applyFill="1" applyBorder="1" applyAlignment="1">
      <alignment horizontal="right" vertical="center" wrapText="1"/>
      <protection/>
    </xf>
    <xf numFmtId="0" fontId="27" fillId="0" borderId="62" xfId="62" applyFont="1" applyBorder="1" applyAlignment="1">
      <alignment horizontal="center" vertical="center" wrapText="1"/>
      <protection/>
    </xf>
    <xf numFmtId="0" fontId="27" fillId="0" borderId="109" xfId="62" applyFont="1" applyBorder="1" applyAlignment="1">
      <alignment horizontal="center" vertical="center" wrapText="1"/>
      <protection/>
    </xf>
    <xf numFmtId="0" fontId="27" fillId="0" borderId="45" xfId="62" applyFont="1" applyBorder="1" applyAlignment="1">
      <alignment horizontal="center" vertical="center" wrapText="1"/>
      <protection/>
    </xf>
    <xf numFmtId="0" fontId="27" fillId="0" borderId="58" xfId="62" applyFont="1" applyBorder="1" applyAlignment="1">
      <alignment horizontal="center" vertical="center" wrapText="1"/>
      <protection/>
    </xf>
    <xf numFmtId="0" fontId="27" fillId="0" borderId="71" xfId="62" applyFont="1" applyBorder="1" applyAlignment="1">
      <alignment horizontal="center" vertical="center" wrapText="1"/>
      <protection/>
    </xf>
    <xf numFmtId="0" fontId="27" fillId="0" borderId="98" xfId="62" applyFont="1" applyBorder="1" applyAlignment="1">
      <alignment horizontal="center" vertical="center" wrapText="1"/>
      <protection/>
    </xf>
    <xf numFmtId="0" fontId="27" fillId="0" borderId="110" xfId="62" applyFont="1" applyBorder="1" applyAlignment="1">
      <alignment horizontal="center" vertical="center" wrapText="1"/>
      <protection/>
    </xf>
    <xf numFmtId="0" fontId="27" fillId="0" borderId="73" xfId="62" applyFont="1" applyBorder="1" applyAlignment="1">
      <alignment horizontal="center" vertical="center" wrapText="1"/>
      <protection/>
    </xf>
    <xf numFmtId="0" fontId="11" fillId="0" borderId="0" xfId="64" applyFont="1" applyAlignment="1" quotePrefix="1">
      <alignment horizontal="center" vertical="center" wrapText="1"/>
      <protection/>
    </xf>
    <xf numFmtId="0" fontId="47" fillId="0" borderId="0" xfId="64" applyFont="1" applyAlignment="1">
      <alignment horizontal="center" vertical="center" wrapText="1"/>
      <protection/>
    </xf>
    <xf numFmtId="0" fontId="11" fillId="0" borderId="0" xfId="62" applyFont="1" applyAlignment="1">
      <alignment horizontal="left" vertical="top" wrapText="1"/>
      <protection/>
    </xf>
    <xf numFmtId="0" fontId="41" fillId="0" borderId="111" xfId="64" applyFont="1" applyBorder="1" applyAlignment="1">
      <alignment horizontal="center" vertical="center" wrapText="1"/>
      <protection/>
    </xf>
    <xf numFmtId="0" fontId="41" fillId="0" borderId="112" xfId="64" applyFont="1" applyBorder="1" applyAlignment="1">
      <alignment horizontal="center" vertical="center" wrapText="1"/>
      <protection/>
    </xf>
    <xf numFmtId="0" fontId="41" fillId="0" borderId="113" xfId="64" applyFont="1" applyBorder="1" applyAlignment="1">
      <alignment horizontal="center" vertical="center" wrapText="1"/>
      <protection/>
    </xf>
    <xf numFmtId="0" fontId="41" fillId="0" borderId="114" xfId="64" applyFont="1" applyBorder="1" applyAlignment="1">
      <alignment horizontal="center" vertical="center" wrapText="1"/>
      <protection/>
    </xf>
    <xf numFmtId="0" fontId="41" fillId="0" borderId="115" xfId="64" applyFont="1" applyBorder="1" applyAlignment="1">
      <alignment horizontal="center" vertical="center" wrapText="1"/>
      <protection/>
    </xf>
    <xf numFmtId="0" fontId="41" fillId="0" borderId="18" xfId="64" applyFont="1" applyBorder="1" applyAlignment="1">
      <alignment horizontal="center" vertical="center" wrapText="1"/>
      <protection/>
    </xf>
    <xf numFmtId="0" fontId="27" fillId="0" borderId="0" xfId="64" applyFont="1" applyAlignment="1">
      <alignment vertical="center" wrapText="1"/>
      <protection/>
    </xf>
    <xf numFmtId="0" fontId="27" fillId="0" borderId="0" xfId="64" applyFont="1" applyAlignment="1">
      <alignment horizontal="left" vertical="center" wrapText="1"/>
      <protection/>
    </xf>
    <xf numFmtId="0" fontId="11" fillId="32" borderId="50" xfId="62" applyFill="1" applyBorder="1" applyAlignment="1">
      <alignment horizontal="center" vertical="center" wrapText="1"/>
      <protection/>
    </xf>
    <xf numFmtId="0" fontId="13" fillId="36" borderId="33" xfId="64" applyFont="1" applyFill="1" applyBorder="1" applyAlignment="1">
      <alignment horizontal="center" vertical="center" wrapText="1"/>
      <protection/>
    </xf>
    <xf numFmtId="0" fontId="11" fillId="25" borderId="116" xfId="64" applyFont="1" applyFill="1" applyBorder="1" applyAlignment="1">
      <alignment horizontal="center" vertical="center" wrapText="1"/>
      <protection/>
    </xf>
    <xf numFmtId="0" fontId="11" fillId="25" borderId="67" xfId="64" applyFont="1" applyFill="1" applyBorder="1" applyAlignment="1">
      <alignment horizontal="center" vertical="center" wrapText="1"/>
      <protection/>
    </xf>
    <xf numFmtId="0" fontId="11" fillId="25" borderId="117" xfId="64" applyFont="1" applyFill="1" applyBorder="1" applyAlignment="1">
      <alignment horizontal="center" vertical="center" wrapText="1"/>
      <protection/>
    </xf>
    <xf numFmtId="0" fontId="11" fillId="25" borderId="118" xfId="64" applyFont="1" applyFill="1" applyBorder="1" applyAlignment="1">
      <alignment horizontal="center" vertical="center" wrapText="1"/>
      <protection/>
    </xf>
    <xf numFmtId="0" fontId="11" fillId="10" borderId="119" xfId="64" applyFont="1" applyFill="1" applyBorder="1" applyAlignment="1">
      <alignment horizontal="center" vertical="center" wrapText="1"/>
      <protection/>
    </xf>
    <xf numFmtId="0" fontId="11" fillId="10" borderId="68" xfId="64" applyFont="1" applyFill="1" applyBorder="1" applyAlignment="1">
      <alignment horizontal="center" vertical="center" wrapText="1"/>
      <protection/>
    </xf>
    <xf numFmtId="0" fontId="11" fillId="10" borderId="120" xfId="64" applyFont="1" applyFill="1" applyBorder="1" applyAlignment="1">
      <alignment horizontal="center" vertical="center"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1-CodeTracking(v4ms)" xfId="54"/>
    <cellStyle name="Input" xfId="55"/>
    <cellStyle name="Linked Cell" xfId="56"/>
    <cellStyle name="Neutral" xfId="57"/>
    <cellStyle name="Normal_1-CodeTracking(v4ms)" xfId="58"/>
    <cellStyle name="Normal_Attachment6" xfId="59"/>
    <cellStyle name="Normal_Attachment6,workbookpage1" xfId="60"/>
    <cellStyle name="Normal_Attachment6,workbookpage2" xfId="61"/>
    <cellStyle name="Normal_Attachment7" xfId="62"/>
    <cellStyle name="Normal_Revised lookup tables" xfId="63"/>
    <cellStyle name="Normal_screening tool output template idea_031808" xfId="64"/>
    <cellStyle name="Note" xfId="65"/>
    <cellStyle name="Output" xfId="66"/>
    <cellStyle name="Percent" xfId="67"/>
    <cellStyle name="Title" xfId="68"/>
    <cellStyle name="Total" xfId="69"/>
    <cellStyle name="Warning Text" xfId="70"/>
  </cellStyles>
  <dxfs count="10">
    <dxf>
      <font>
        <b/>
        <i val="0"/>
        <color indexed="46"/>
      </font>
    </dxf>
    <dxf>
      <font>
        <b/>
        <i val="0"/>
        <color indexed="48"/>
      </font>
    </dxf>
    <dxf>
      <font>
        <b/>
        <i val="0"/>
        <color indexed="18"/>
      </font>
    </dxf>
    <dxf>
      <font>
        <b/>
        <i val="0"/>
        <strike/>
        <color indexed="10"/>
      </font>
    </dxf>
    <dxf>
      <font>
        <b/>
        <i val="0"/>
        <strike/>
        <name val="Cambria"/>
        <color theme="9" tint="-0.24993999302387238"/>
      </font>
    </dxf>
    <dxf>
      <font>
        <b/>
        <i val="0"/>
        <color indexed="44"/>
      </font>
    </dxf>
    <dxf>
      <font>
        <b val="0"/>
        <i val="0"/>
        <u val="single"/>
        <color auto="1"/>
      </font>
    </dxf>
    <dxf>
      <font>
        <b val="0"/>
        <i val="0"/>
        <u val="single"/>
        <color auto="1"/>
      </font>
    </dxf>
    <dxf>
      <font>
        <b/>
        <i val="0"/>
        <color auto="1"/>
      </font>
    </dxf>
    <dxf>
      <font>
        <b/>
        <i val="0"/>
        <strike/>
        <color theme="9" tint="-0.24993999302387238"/>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15</xdr:row>
      <xdr:rowOff>0</xdr:rowOff>
    </xdr:from>
    <xdr:to>
      <xdr:col>10</xdr:col>
      <xdr:colOff>0</xdr:colOff>
      <xdr:row>15</xdr:row>
      <xdr:rowOff>0</xdr:rowOff>
    </xdr:to>
    <xdr:sp>
      <xdr:nvSpPr>
        <xdr:cNvPr id="1" name="Line 61"/>
        <xdr:cNvSpPr>
          <a:spLocks/>
        </xdr:cNvSpPr>
      </xdr:nvSpPr>
      <xdr:spPr>
        <a:xfrm flipV="1">
          <a:off x="11353800" y="5334000"/>
          <a:ext cx="885825" cy="0"/>
        </a:xfrm>
        <a:prstGeom prst="line">
          <a:avLst/>
        </a:prstGeom>
        <a:noFill/>
        <a:ln w="25400" cmpd="sng">
          <a:solidFill>
            <a:srgbClr val="000000"/>
          </a:solidFill>
          <a:headEnd type="none"/>
          <a:tailEnd type="stealth"/>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9</xdr:col>
      <xdr:colOff>0</xdr:colOff>
      <xdr:row>16</xdr:row>
      <xdr:rowOff>0</xdr:rowOff>
    </xdr:from>
    <xdr:to>
      <xdr:col>10</xdr:col>
      <xdr:colOff>0</xdr:colOff>
      <xdr:row>16</xdr:row>
      <xdr:rowOff>0</xdr:rowOff>
    </xdr:to>
    <xdr:sp>
      <xdr:nvSpPr>
        <xdr:cNvPr id="2" name="Line 62"/>
        <xdr:cNvSpPr>
          <a:spLocks/>
        </xdr:cNvSpPr>
      </xdr:nvSpPr>
      <xdr:spPr>
        <a:xfrm flipV="1">
          <a:off x="11353800" y="5915025"/>
          <a:ext cx="885825" cy="0"/>
        </a:xfrm>
        <a:prstGeom prst="line">
          <a:avLst/>
        </a:prstGeom>
        <a:noFill/>
        <a:ln w="25400" cmpd="sng">
          <a:solidFill>
            <a:srgbClr val="000000"/>
          </a:solidFill>
          <a:headEnd type="none"/>
          <a:tailEnd type="stealth"/>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9</xdr:col>
      <xdr:colOff>0</xdr:colOff>
      <xdr:row>17</xdr:row>
      <xdr:rowOff>0</xdr:rowOff>
    </xdr:from>
    <xdr:to>
      <xdr:col>10</xdr:col>
      <xdr:colOff>0</xdr:colOff>
      <xdr:row>17</xdr:row>
      <xdr:rowOff>0</xdr:rowOff>
    </xdr:to>
    <xdr:sp>
      <xdr:nvSpPr>
        <xdr:cNvPr id="3" name="Line 63"/>
        <xdr:cNvSpPr>
          <a:spLocks/>
        </xdr:cNvSpPr>
      </xdr:nvSpPr>
      <xdr:spPr>
        <a:xfrm flipV="1">
          <a:off x="11353800" y="6496050"/>
          <a:ext cx="885825" cy="0"/>
        </a:xfrm>
        <a:prstGeom prst="line">
          <a:avLst/>
        </a:prstGeom>
        <a:noFill/>
        <a:ln w="25400" cmpd="sng">
          <a:solidFill>
            <a:srgbClr val="000000"/>
          </a:solidFill>
          <a:headEnd type="none"/>
          <a:tailEnd type="stealth"/>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9</xdr:col>
      <xdr:colOff>0</xdr:colOff>
      <xdr:row>18</xdr:row>
      <xdr:rowOff>0</xdr:rowOff>
    </xdr:from>
    <xdr:to>
      <xdr:col>9</xdr:col>
      <xdr:colOff>876300</xdr:colOff>
      <xdr:row>18</xdr:row>
      <xdr:rowOff>0</xdr:rowOff>
    </xdr:to>
    <xdr:sp>
      <xdr:nvSpPr>
        <xdr:cNvPr id="4" name="Line 64"/>
        <xdr:cNvSpPr>
          <a:spLocks/>
        </xdr:cNvSpPr>
      </xdr:nvSpPr>
      <xdr:spPr>
        <a:xfrm flipV="1">
          <a:off x="11353800" y="7077075"/>
          <a:ext cx="876300" cy="0"/>
        </a:xfrm>
        <a:prstGeom prst="line">
          <a:avLst/>
        </a:prstGeom>
        <a:noFill/>
        <a:ln w="25400" cmpd="sng">
          <a:solidFill>
            <a:srgbClr val="000000"/>
          </a:solidFill>
          <a:headEnd type="none"/>
          <a:tailEnd type="stealth"/>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9</xdr:col>
      <xdr:colOff>0</xdr:colOff>
      <xdr:row>23</xdr:row>
      <xdr:rowOff>0</xdr:rowOff>
    </xdr:from>
    <xdr:to>
      <xdr:col>10</xdr:col>
      <xdr:colOff>9525</xdr:colOff>
      <xdr:row>23</xdr:row>
      <xdr:rowOff>0</xdr:rowOff>
    </xdr:to>
    <xdr:sp>
      <xdr:nvSpPr>
        <xdr:cNvPr id="5" name="Line 67"/>
        <xdr:cNvSpPr>
          <a:spLocks/>
        </xdr:cNvSpPr>
      </xdr:nvSpPr>
      <xdr:spPr>
        <a:xfrm flipV="1">
          <a:off x="11353800" y="9982200"/>
          <a:ext cx="895350" cy="0"/>
        </a:xfrm>
        <a:prstGeom prst="line">
          <a:avLst/>
        </a:prstGeom>
        <a:noFill/>
        <a:ln w="25400" cmpd="sng">
          <a:solidFill>
            <a:srgbClr val="000000"/>
          </a:solidFill>
          <a:headEnd type="none"/>
          <a:tailEnd type="stealth"/>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9</xdr:col>
      <xdr:colOff>0</xdr:colOff>
      <xdr:row>22</xdr:row>
      <xdr:rowOff>0</xdr:rowOff>
    </xdr:from>
    <xdr:to>
      <xdr:col>10</xdr:col>
      <xdr:colOff>0</xdr:colOff>
      <xdr:row>22</xdr:row>
      <xdr:rowOff>0</xdr:rowOff>
    </xdr:to>
    <xdr:sp>
      <xdr:nvSpPr>
        <xdr:cNvPr id="6" name="Line 68"/>
        <xdr:cNvSpPr>
          <a:spLocks/>
        </xdr:cNvSpPr>
      </xdr:nvSpPr>
      <xdr:spPr>
        <a:xfrm flipV="1">
          <a:off x="11353800" y="9401175"/>
          <a:ext cx="885825" cy="0"/>
        </a:xfrm>
        <a:prstGeom prst="line">
          <a:avLst/>
        </a:prstGeom>
        <a:noFill/>
        <a:ln w="25400" cmpd="sng">
          <a:solidFill>
            <a:srgbClr val="000000"/>
          </a:solidFill>
          <a:headEnd type="none"/>
          <a:tailEnd type="stealth"/>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9</xdr:col>
      <xdr:colOff>0</xdr:colOff>
      <xdr:row>21</xdr:row>
      <xdr:rowOff>0</xdr:rowOff>
    </xdr:from>
    <xdr:to>
      <xdr:col>10</xdr:col>
      <xdr:colOff>9525</xdr:colOff>
      <xdr:row>21</xdr:row>
      <xdr:rowOff>0</xdr:rowOff>
    </xdr:to>
    <xdr:sp>
      <xdr:nvSpPr>
        <xdr:cNvPr id="7" name="Line 69"/>
        <xdr:cNvSpPr>
          <a:spLocks/>
        </xdr:cNvSpPr>
      </xdr:nvSpPr>
      <xdr:spPr>
        <a:xfrm flipV="1">
          <a:off x="11353800" y="8820150"/>
          <a:ext cx="895350" cy="0"/>
        </a:xfrm>
        <a:prstGeom prst="line">
          <a:avLst/>
        </a:prstGeom>
        <a:noFill/>
        <a:ln w="25400" cmpd="sng">
          <a:solidFill>
            <a:srgbClr val="000000"/>
          </a:solidFill>
          <a:headEnd type="none"/>
          <a:tailEnd type="stealth"/>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18</xdr:col>
      <xdr:colOff>0</xdr:colOff>
      <xdr:row>11</xdr:row>
      <xdr:rowOff>0</xdr:rowOff>
    </xdr:from>
    <xdr:to>
      <xdr:col>18</xdr:col>
      <xdr:colOff>0</xdr:colOff>
      <xdr:row>12</xdr:row>
      <xdr:rowOff>0</xdr:rowOff>
    </xdr:to>
    <xdr:sp>
      <xdr:nvSpPr>
        <xdr:cNvPr id="8" name="Line 79"/>
        <xdr:cNvSpPr>
          <a:spLocks/>
        </xdr:cNvSpPr>
      </xdr:nvSpPr>
      <xdr:spPr>
        <a:xfrm rot="5400000" flipV="1">
          <a:off x="22698075" y="3133725"/>
          <a:ext cx="0" cy="457200"/>
        </a:xfrm>
        <a:prstGeom prst="line">
          <a:avLst/>
        </a:prstGeom>
        <a:noFill/>
        <a:ln w="25400" cmpd="sng">
          <a:solidFill>
            <a:srgbClr val="000000"/>
          </a:solidFill>
          <a:headEnd type="none"/>
          <a:tailEnd type="stealth"/>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19</xdr:col>
      <xdr:colOff>0</xdr:colOff>
      <xdr:row>11</xdr:row>
      <xdr:rowOff>0</xdr:rowOff>
    </xdr:from>
    <xdr:to>
      <xdr:col>19</xdr:col>
      <xdr:colOff>0</xdr:colOff>
      <xdr:row>12</xdr:row>
      <xdr:rowOff>0</xdr:rowOff>
    </xdr:to>
    <xdr:sp>
      <xdr:nvSpPr>
        <xdr:cNvPr id="9" name="Line 80"/>
        <xdr:cNvSpPr>
          <a:spLocks/>
        </xdr:cNvSpPr>
      </xdr:nvSpPr>
      <xdr:spPr>
        <a:xfrm rot="5400000" flipV="1">
          <a:off x="23726775" y="3133725"/>
          <a:ext cx="0" cy="457200"/>
        </a:xfrm>
        <a:prstGeom prst="line">
          <a:avLst/>
        </a:prstGeom>
        <a:noFill/>
        <a:ln w="25400" cmpd="sng">
          <a:solidFill>
            <a:srgbClr val="000000"/>
          </a:solidFill>
          <a:headEnd type="none"/>
          <a:tailEnd type="stealth"/>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20</xdr:col>
      <xdr:colOff>0</xdr:colOff>
      <xdr:row>11</xdr:row>
      <xdr:rowOff>0</xdr:rowOff>
    </xdr:from>
    <xdr:to>
      <xdr:col>20</xdr:col>
      <xdr:colOff>0</xdr:colOff>
      <xdr:row>12</xdr:row>
      <xdr:rowOff>0</xdr:rowOff>
    </xdr:to>
    <xdr:sp>
      <xdr:nvSpPr>
        <xdr:cNvPr id="10" name="Line 81"/>
        <xdr:cNvSpPr>
          <a:spLocks/>
        </xdr:cNvSpPr>
      </xdr:nvSpPr>
      <xdr:spPr>
        <a:xfrm rot="5400000" flipV="1">
          <a:off x="24860250" y="3133725"/>
          <a:ext cx="0" cy="457200"/>
        </a:xfrm>
        <a:prstGeom prst="line">
          <a:avLst/>
        </a:prstGeom>
        <a:noFill/>
        <a:ln w="25400" cmpd="sng">
          <a:solidFill>
            <a:srgbClr val="000000"/>
          </a:solidFill>
          <a:headEnd type="none"/>
          <a:tailEnd type="stealth"/>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21</xdr:col>
      <xdr:colOff>0</xdr:colOff>
      <xdr:row>11</xdr:row>
      <xdr:rowOff>0</xdr:rowOff>
    </xdr:from>
    <xdr:to>
      <xdr:col>21</xdr:col>
      <xdr:colOff>0</xdr:colOff>
      <xdr:row>12</xdr:row>
      <xdr:rowOff>0</xdr:rowOff>
    </xdr:to>
    <xdr:sp>
      <xdr:nvSpPr>
        <xdr:cNvPr id="11" name="Line 82"/>
        <xdr:cNvSpPr>
          <a:spLocks/>
        </xdr:cNvSpPr>
      </xdr:nvSpPr>
      <xdr:spPr>
        <a:xfrm rot="5400000" flipV="1">
          <a:off x="25888950" y="3133725"/>
          <a:ext cx="0" cy="457200"/>
        </a:xfrm>
        <a:prstGeom prst="line">
          <a:avLst/>
        </a:prstGeom>
        <a:noFill/>
        <a:ln w="25400" cmpd="sng">
          <a:solidFill>
            <a:srgbClr val="000000"/>
          </a:solidFill>
          <a:headEnd type="none"/>
          <a:tailEnd type="stealth"/>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22</xdr:col>
      <xdr:colOff>0</xdr:colOff>
      <xdr:row>11</xdr:row>
      <xdr:rowOff>0</xdr:rowOff>
    </xdr:from>
    <xdr:to>
      <xdr:col>22</xdr:col>
      <xdr:colOff>0</xdr:colOff>
      <xdr:row>12</xdr:row>
      <xdr:rowOff>0</xdr:rowOff>
    </xdr:to>
    <xdr:sp>
      <xdr:nvSpPr>
        <xdr:cNvPr id="12" name="Line 83"/>
        <xdr:cNvSpPr>
          <a:spLocks/>
        </xdr:cNvSpPr>
      </xdr:nvSpPr>
      <xdr:spPr>
        <a:xfrm rot="5400000" flipV="1">
          <a:off x="26993850" y="3133725"/>
          <a:ext cx="0" cy="457200"/>
        </a:xfrm>
        <a:prstGeom prst="line">
          <a:avLst/>
        </a:prstGeom>
        <a:noFill/>
        <a:ln w="25400" cmpd="sng">
          <a:solidFill>
            <a:srgbClr val="000000"/>
          </a:solidFill>
          <a:headEnd type="none"/>
          <a:tailEnd type="stealth"/>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23</xdr:col>
      <xdr:colOff>0</xdr:colOff>
      <xdr:row>11</xdr:row>
      <xdr:rowOff>0</xdr:rowOff>
    </xdr:from>
    <xdr:to>
      <xdr:col>23</xdr:col>
      <xdr:colOff>0</xdr:colOff>
      <xdr:row>12</xdr:row>
      <xdr:rowOff>0</xdr:rowOff>
    </xdr:to>
    <xdr:sp>
      <xdr:nvSpPr>
        <xdr:cNvPr id="13" name="Line 84"/>
        <xdr:cNvSpPr>
          <a:spLocks/>
        </xdr:cNvSpPr>
      </xdr:nvSpPr>
      <xdr:spPr>
        <a:xfrm rot="5400000" flipV="1">
          <a:off x="28022550" y="3133725"/>
          <a:ext cx="0" cy="457200"/>
        </a:xfrm>
        <a:prstGeom prst="line">
          <a:avLst/>
        </a:prstGeom>
        <a:noFill/>
        <a:ln w="25400" cmpd="sng">
          <a:solidFill>
            <a:srgbClr val="000000"/>
          </a:solidFill>
          <a:headEnd type="none"/>
          <a:tailEnd type="stealth"/>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9</xdr:col>
      <xdr:colOff>0</xdr:colOff>
      <xdr:row>20</xdr:row>
      <xdr:rowOff>0</xdr:rowOff>
    </xdr:from>
    <xdr:to>
      <xdr:col>10</xdr:col>
      <xdr:colOff>9525</xdr:colOff>
      <xdr:row>20</xdr:row>
      <xdr:rowOff>0</xdr:rowOff>
    </xdr:to>
    <xdr:sp>
      <xdr:nvSpPr>
        <xdr:cNvPr id="14" name="Line 68"/>
        <xdr:cNvSpPr>
          <a:spLocks/>
        </xdr:cNvSpPr>
      </xdr:nvSpPr>
      <xdr:spPr>
        <a:xfrm flipV="1">
          <a:off x="11353800" y="8239125"/>
          <a:ext cx="895350" cy="0"/>
        </a:xfrm>
        <a:prstGeom prst="line">
          <a:avLst/>
        </a:prstGeom>
        <a:noFill/>
        <a:ln w="25400" cmpd="sng">
          <a:solidFill>
            <a:srgbClr val="000000"/>
          </a:solidFill>
          <a:headEnd type="none"/>
          <a:tailEnd type="stealth"/>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9</xdr:col>
      <xdr:colOff>0</xdr:colOff>
      <xdr:row>19</xdr:row>
      <xdr:rowOff>0</xdr:rowOff>
    </xdr:from>
    <xdr:to>
      <xdr:col>10</xdr:col>
      <xdr:colOff>0</xdr:colOff>
      <xdr:row>19</xdr:row>
      <xdr:rowOff>0</xdr:rowOff>
    </xdr:to>
    <xdr:sp>
      <xdr:nvSpPr>
        <xdr:cNvPr id="15" name="Line 69"/>
        <xdr:cNvSpPr>
          <a:spLocks/>
        </xdr:cNvSpPr>
      </xdr:nvSpPr>
      <xdr:spPr>
        <a:xfrm flipV="1">
          <a:off x="11353800" y="7658100"/>
          <a:ext cx="885825" cy="0"/>
        </a:xfrm>
        <a:prstGeom prst="line">
          <a:avLst/>
        </a:prstGeom>
        <a:noFill/>
        <a:ln w="25400" cmpd="sng">
          <a:solidFill>
            <a:srgbClr val="000000"/>
          </a:solidFill>
          <a:headEnd type="none"/>
          <a:tailEnd type="stealth"/>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9</xdr:col>
      <xdr:colOff>0</xdr:colOff>
      <xdr:row>14</xdr:row>
      <xdr:rowOff>0</xdr:rowOff>
    </xdr:from>
    <xdr:to>
      <xdr:col>10</xdr:col>
      <xdr:colOff>0</xdr:colOff>
      <xdr:row>14</xdr:row>
      <xdr:rowOff>0</xdr:rowOff>
    </xdr:to>
    <xdr:sp>
      <xdr:nvSpPr>
        <xdr:cNvPr id="16" name="Line 64"/>
        <xdr:cNvSpPr>
          <a:spLocks/>
        </xdr:cNvSpPr>
      </xdr:nvSpPr>
      <xdr:spPr>
        <a:xfrm flipV="1">
          <a:off x="11353800" y="4752975"/>
          <a:ext cx="885825" cy="0"/>
        </a:xfrm>
        <a:prstGeom prst="line">
          <a:avLst/>
        </a:prstGeom>
        <a:noFill/>
        <a:ln w="25400" cmpd="sng">
          <a:solidFill>
            <a:srgbClr val="000000"/>
          </a:solidFill>
          <a:headEnd type="none"/>
          <a:tailEnd type="stealth"/>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10</xdr:col>
      <xdr:colOff>0</xdr:colOff>
      <xdr:row>11</xdr:row>
      <xdr:rowOff>0</xdr:rowOff>
    </xdr:from>
    <xdr:to>
      <xdr:col>10</xdr:col>
      <xdr:colOff>0</xdr:colOff>
      <xdr:row>12</xdr:row>
      <xdr:rowOff>0</xdr:rowOff>
    </xdr:to>
    <xdr:sp>
      <xdr:nvSpPr>
        <xdr:cNvPr id="17" name="Line 70"/>
        <xdr:cNvSpPr>
          <a:spLocks/>
        </xdr:cNvSpPr>
      </xdr:nvSpPr>
      <xdr:spPr>
        <a:xfrm rot="5400000" flipV="1">
          <a:off x="12239625" y="3133725"/>
          <a:ext cx="0" cy="457200"/>
        </a:xfrm>
        <a:prstGeom prst="line">
          <a:avLst/>
        </a:prstGeom>
        <a:noFill/>
        <a:ln w="25400" cmpd="sng">
          <a:solidFill>
            <a:srgbClr val="000000"/>
          </a:solidFill>
          <a:headEnd type="none"/>
          <a:tailEnd type="stealth"/>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11</xdr:col>
      <xdr:colOff>0</xdr:colOff>
      <xdr:row>11</xdr:row>
      <xdr:rowOff>0</xdr:rowOff>
    </xdr:from>
    <xdr:to>
      <xdr:col>11</xdr:col>
      <xdr:colOff>0</xdr:colOff>
      <xdr:row>12</xdr:row>
      <xdr:rowOff>0</xdr:rowOff>
    </xdr:to>
    <xdr:sp>
      <xdr:nvSpPr>
        <xdr:cNvPr id="18" name="Line 74"/>
        <xdr:cNvSpPr>
          <a:spLocks/>
        </xdr:cNvSpPr>
      </xdr:nvSpPr>
      <xdr:spPr>
        <a:xfrm rot="5400000" flipV="1">
          <a:off x="13611225" y="3133725"/>
          <a:ext cx="0" cy="457200"/>
        </a:xfrm>
        <a:prstGeom prst="line">
          <a:avLst/>
        </a:prstGeom>
        <a:noFill/>
        <a:ln w="25400" cmpd="sng">
          <a:solidFill>
            <a:srgbClr val="000000"/>
          </a:solidFill>
          <a:headEnd type="none"/>
          <a:tailEnd type="stealth"/>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12</xdr:col>
      <xdr:colOff>0</xdr:colOff>
      <xdr:row>11</xdr:row>
      <xdr:rowOff>0</xdr:rowOff>
    </xdr:from>
    <xdr:to>
      <xdr:col>12</xdr:col>
      <xdr:colOff>0</xdr:colOff>
      <xdr:row>12</xdr:row>
      <xdr:rowOff>0</xdr:rowOff>
    </xdr:to>
    <xdr:sp>
      <xdr:nvSpPr>
        <xdr:cNvPr id="19" name="Line 75"/>
        <xdr:cNvSpPr>
          <a:spLocks/>
        </xdr:cNvSpPr>
      </xdr:nvSpPr>
      <xdr:spPr>
        <a:xfrm rot="5400000" flipV="1">
          <a:off x="14954250" y="3133725"/>
          <a:ext cx="0" cy="457200"/>
        </a:xfrm>
        <a:prstGeom prst="line">
          <a:avLst/>
        </a:prstGeom>
        <a:noFill/>
        <a:ln w="25400" cmpd="sng">
          <a:solidFill>
            <a:srgbClr val="000000"/>
          </a:solidFill>
          <a:headEnd type="none"/>
          <a:tailEnd type="stealth"/>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13</xdr:col>
      <xdr:colOff>0</xdr:colOff>
      <xdr:row>11</xdr:row>
      <xdr:rowOff>0</xdr:rowOff>
    </xdr:from>
    <xdr:to>
      <xdr:col>13</xdr:col>
      <xdr:colOff>0</xdr:colOff>
      <xdr:row>12</xdr:row>
      <xdr:rowOff>0</xdr:rowOff>
    </xdr:to>
    <xdr:sp>
      <xdr:nvSpPr>
        <xdr:cNvPr id="20" name="Line 76"/>
        <xdr:cNvSpPr>
          <a:spLocks/>
        </xdr:cNvSpPr>
      </xdr:nvSpPr>
      <xdr:spPr>
        <a:xfrm rot="5400000" flipV="1">
          <a:off x="16297275" y="3133725"/>
          <a:ext cx="0" cy="457200"/>
        </a:xfrm>
        <a:prstGeom prst="line">
          <a:avLst/>
        </a:prstGeom>
        <a:noFill/>
        <a:ln w="25400" cmpd="sng">
          <a:solidFill>
            <a:srgbClr val="000000"/>
          </a:solidFill>
          <a:headEnd type="none"/>
          <a:tailEnd type="stealth"/>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14</xdr:col>
      <xdr:colOff>0</xdr:colOff>
      <xdr:row>11</xdr:row>
      <xdr:rowOff>0</xdr:rowOff>
    </xdr:from>
    <xdr:to>
      <xdr:col>14</xdr:col>
      <xdr:colOff>0</xdr:colOff>
      <xdr:row>11</xdr:row>
      <xdr:rowOff>447675</xdr:rowOff>
    </xdr:to>
    <xdr:sp>
      <xdr:nvSpPr>
        <xdr:cNvPr id="21" name="Line 77"/>
        <xdr:cNvSpPr>
          <a:spLocks/>
        </xdr:cNvSpPr>
      </xdr:nvSpPr>
      <xdr:spPr>
        <a:xfrm rot="5400000" flipV="1">
          <a:off x="17640300" y="3133725"/>
          <a:ext cx="0" cy="447675"/>
        </a:xfrm>
        <a:prstGeom prst="line">
          <a:avLst/>
        </a:prstGeom>
        <a:noFill/>
        <a:ln w="25400" cmpd="sng">
          <a:solidFill>
            <a:srgbClr val="000000"/>
          </a:solidFill>
          <a:headEnd type="none"/>
          <a:tailEnd type="stealth"/>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11</xdr:row>
      <xdr:rowOff>0</xdr:rowOff>
    </xdr:from>
    <xdr:to>
      <xdr:col>15</xdr:col>
      <xdr:colOff>0</xdr:colOff>
      <xdr:row>12</xdr:row>
      <xdr:rowOff>0</xdr:rowOff>
    </xdr:to>
    <xdr:sp>
      <xdr:nvSpPr>
        <xdr:cNvPr id="22" name="Line 78"/>
        <xdr:cNvSpPr>
          <a:spLocks/>
        </xdr:cNvSpPr>
      </xdr:nvSpPr>
      <xdr:spPr>
        <a:xfrm rot="5400000" flipV="1">
          <a:off x="18983325" y="3133725"/>
          <a:ext cx="0" cy="457200"/>
        </a:xfrm>
        <a:prstGeom prst="line">
          <a:avLst/>
        </a:prstGeom>
        <a:noFill/>
        <a:ln w="25400" cmpd="sng">
          <a:solidFill>
            <a:srgbClr val="000000"/>
          </a:solidFill>
          <a:headEnd type="none"/>
          <a:tailEnd type="stealth"/>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17</xdr:col>
      <xdr:colOff>0</xdr:colOff>
      <xdr:row>11</xdr:row>
      <xdr:rowOff>9525</xdr:rowOff>
    </xdr:from>
    <xdr:to>
      <xdr:col>17</xdr:col>
      <xdr:colOff>0</xdr:colOff>
      <xdr:row>12</xdr:row>
      <xdr:rowOff>0</xdr:rowOff>
    </xdr:to>
    <xdr:sp>
      <xdr:nvSpPr>
        <xdr:cNvPr id="23" name="Line 78"/>
        <xdr:cNvSpPr>
          <a:spLocks/>
        </xdr:cNvSpPr>
      </xdr:nvSpPr>
      <xdr:spPr>
        <a:xfrm rot="5400000" flipV="1">
          <a:off x="21669375" y="3143250"/>
          <a:ext cx="0" cy="447675"/>
        </a:xfrm>
        <a:prstGeom prst="line">
          <a:avLst/>
        </a:prstGeom>
        <a:noFill/>
        <a:ln w="25400" cmpd="sng">
          <a:solidFill>
            <a:srgbClr val="000000"/>
          </a:solidFill>
          <a:headEnd type="none"/>
          <a:tailEnd type="stealth"/>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16</xdr:col>
      <xdr:colOff>0</xdr:colOff>
      <xdr:row>11</xdr:row>
      <xdr:rowOff>0</xdr:rowOff>
    </xdr:from>
    <xdr:to>
      <xdr:col>16</xdr:col>
      <xdr:colOff>0</xdr:colOff>
      <xdr:row>12</xdr:row>
      <xdr:rowOff>0</xdr:rowOff>
    </xdr:to>
    <xdr:sp>
      <xdr:nvSpPr>
        <xdr:cNvPr id="24" name="Line 78"/>
        <xdr:cNvSpPr>
          <a:spLocks/>
        </xdr:cNvSpPr>
      </xdr:nvSpPr>
      <xdr:spPr>
        <a:xfrm rot="5400000" flipV="1">
          <a:off x="20326350" y="3133725"/>
          <a:ext cx="0" cy="457200"/>
        </a:xfrm>
        <a:prstGeom prst="line">
          <a:avLst/>
        </a:prstGeom>
        <a:noFill/>
        <a:ln w="25400" cmpd="sng">
          <a:solidFill>
            <a:srgbClr val="000000"/>
          </a:solidFill>
          <a:headEnd type="none"/>
          <a:tailEnd type="stealth"/>
        </a:ln>
      </xdr:spPr>
      <xdr:txBody>
        <a:bodyPr vertOverflow="clip" wrap="square"/>
        <a:p>
          <a:pPr algn="l">
            <a:defRPr/>
          </a:pPr>
          <a:r>
            <a:rPr lang="en-US" cap="none" u="none" baseline="0">
              <a:latin typeface="Book Antiqua"/>
              <a:ea typeface="Book Antiqua"/>
              <a:cs typeface="Book Antiqu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Owner\My%20Documents\ESTCP%20project\Screening%20protocol\SCREENING%20-%20updated%20Feb%2008\SCREENING%20-%20updated%20Feb%2008\ISCO_ScreeningToolRevC_NEWoop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ser Notes"/>
      <sheetName val="1. Remedial Goal vs Media"/>
      <sheetName val="Named Ranges"/>
      <sheetName val="Entry"/>
      <sheetName val="Contaminants vs oxidants"/>
      <sheetName val="Input vs oxidant approach"/>
      <sheetName val="Attch6 Pg2 Ox vs Dist"/>
      <sheetName val="Input vs distribution technique"/>
      <sheetName val="Output"/>
      <sheetName val="OldOutput"/>
    </sheetNames>
    <sheetDataSet>
      <sheetData sheetId="8">
        <row r="9">
          <cell r="P9" t="str">
            <v>Excellent</v>
          </cell>
          <cell r="Q9" t="str">
            <v>Excellent</v>
          </cell>
          <cell r="R9" t="str">
            <v>Excellent</v>
          </cell>
          <cell r="S9" t="str">
            <v>Excellent</v>
          </cell>
          <cell r="V9" t="str">
            <v>Excellent</v>
          </cell>
          <cell r="W9" t="str">
            <v>Excellent</v>
          </cell>
          <cell r="X9" t="str">
            <v>Excellent</v>
          </cell>
          <cell r="Y9" t="str">
            <v>Excellent</v>
          </cell>
          <cell r="Z9" t="str">
            <v>Excellent</v>
          </cell>
          <cell r="AA9" t="str">
            <v>Excellent</v>
          </cell>
          <cell r="AC9" t="str">
            <v>Excellent</v>
          </cell>
          <cell r="AD9" t="str">
            <v>Excellent</v>
          </cell>
          <cell r="AF9" t="str">
            <v>Excellent</v>
          </cell>
          <cell r="AG9" t="str">
            <v>Excellent</v>
          </cell>
          <cell r="AH9" t="str">
            <v>Excellent</v>
          </cell>
          <cell r="AI9" t="str">
            <v>Excellent</v>
          </cell>
          <cell r="AJ9" t="str">
            <v>Excellent</v>
          </cell>
          <cell r="AK9" t="str">
            <v>Excellent</v>
          </cell>
          <cell r="AN9" t="str">
            <v>Excellent</v>
          </cell>
          <cell r="AO9" t="str">
            <v>Excellent</v>
          </cell>
          <cell r="AP9" t="str">
            <v>Excellent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C26"/>
  <sheetViews>
    <sheetView zoomScalePageLayoutView="0" workbookViewId="0" topLeftCell="A1">
      <selection activeCell="B8" sqref="B8:C12"/>
    </sheetView>
  </sheetViews>
  <sheetFormatPr defaultColWidth="9.00390625" defaultRowHeight="15.75"/>
  <cols>
    <col min="1" max="1" width="21.875" style="0" bestFit="1" customWidth="1"/>
    <col min="2" max="2" width="6.50390625" style="0" bestFit="1" customWidth="1"/>
    <col min="3" max="3" width="18.50390625" style="0" bestFit="1" customWidth="1"/>
    <col min="5" max="5" width="20.25390625" style="0" bestFit="1" customWidth="1"/>
  </cols>
  <sheetData>
    <row r="1" spans="1:3" ht="15.75">
      <c r="A1" s="32" t="str">
        <f>B1&amp;" = "&amp;C1</f>
        <v>4 = Not Recommended</v>
      </c>
      <c r="B1" s="429">
        <v>4</v>
      </c>
      <c r="C1" s="429" t="s">
        <v>308</v>
      </c>
    </row>
    <row r="2" spans="1:3" ht="15.75">
      <c r="A2" s="32" t="str">
        <f>B2&amp;" = "&amp;C2</f>
        <v>3 = Poor</v>
      </c>
      <c r="B2" s="429">
        <v>3</v>
      </c>
      <c r="C2" s="429" t="s">
        <v>148</v>
      </c>
    </row>
    <row r="3" spans="1:3" ht="15.75">
      <c r="A3" s="32" t="str">
        <f>B3&amp;" = "&amp;C3</f>
        <v>2 = Fair</v>
      </c>
      <c r="B3" s="429">
        <v>2</v>
      </c>
      <c r="C3" s="429" t="s">
        <v>149</v>
      </c>
    </row>
    <row r="4" spans="1:3" ht="15.75">
      <c r="A4" s="32" t="str">
        <f>B4&amp;" = "&amp;C4</f>
        <v>1 = Good</v>
      </c>
      <c r="B4" s="429">
        <v>1</v>
      </c>
      <c r="C4" s="429" t="s">
        <v>150</v>
      </c>
    </row>
    <row r="5" spans="1:3" ht="15.75">
      <c r="A5" s="32" t="str">
        <f>B5&amp;" = "&amp;C5</f>
        <v>0 = Excellent</v>
      </c>
      <c r="B5" s="429">
        <v>0</v>
      </c>
      <c r="C5" s="429" t="s">
        <v>151</v>
      </c>
    </row>
    <row r="7" spans="2:3" ht="15.75">
      <c r="B7" s="577" t="s">
        <v>356</v>
      </c>
      <c r="C7" s="577"/>
    </row>
    <row r="8" spans="2:3" ht="15.75">
      <c r="B8" s="32">
        <f>RANK(B5,$B$1:$B$5,-1)-1</f>
        <v>0</v>
      </c>
      <c r="C8" s="32" t="str">
        <f>INDEX($C$1:$C$5,MATCH(B8,$B$1:$B$5,0))</f>
        <v>Excellent</v>
      </c>
    </row>
    <row r="9" spans="2:3" ht="15.75">
      <c r="B9" s="32">
        <f>RANK(B4,$B$1:$B$5,-1)-1</f>
        <v>1</v>
      </c>
      <c r="C9" s="32" t="str">
        <f>INDEX($C$1:$C$5,MATCH(B9,$B$1:$B$5,0))</f>
        <v>Good</v>
      </c>
    </row>
    <row r="10" spans="2:3" ht="15.75">
      <c r="B10" s="32">
        <f>RANK(B3,$B$1:$B$5,-1)-1</f>
        <v>2</v>
      </c>
      <c r="C10" s="32" t="str">
        <f>INDEX($C$1:$C$5,MATCH(B10,$B$1:$B$5,0))</f>
        <v>Fair</v>
      </c>
    </row>
    <row r="11" spans="2:3" ht="15.75">
      <c r="B11" s="32">
        <f>RANK(B2,$B$1:$B$5,-1)-1</f>
        <v>3</v>
      </c>
      <c r="C11" s="32" t="str">
        <f>INDEX($C$1:$C$5,MATCH(B11,$B$1:$B$5,0))</f>
        <v>Poor</v>
      </c>
    </row>
    <row r="12" spans="2:3" ht="15.75">
      <c r="B12" s="32">
        <f>RANK(B1,$B$1:$B$5,-1)-1</f>
        <v>4</v>
      </c>
      <c r="C12" s="32" t="str">
        <f>INDEX($C$1:$C$5,MATCH(B12,$B$1:$B$5,0))</f>
        <v>Not Recommended</v>
      </c>
    </row>
    <row r="14" spans="2:3" ht="15.75">
      <c r="B14" s="577" t="s">
        <v>358</v>
      </c>
      <c r="C14" s="577"/>
    </row>
    <row r="15" spans="2:3" ht="15.75">
      <c r="B15" s="429">
        <v>4</v>
      </c>
      <c r="C15" s="429" t="s">
        <v>355</v>
      </c>
    </row>
    <row r="16" spans="2:3" ht="15.75">
      <c r="B16" s="429">
        <v>3</v>
      </c>
      <c r="C16" s="429" t="s">
        <v>323</v>
      </c>
    </row>
    <row r="17" spans="2:3" ht="15.75">
      <c r="B17" s="429">
        <v>2</v>
      </c>
      <c r="C17" s="429" t="s">
        <v>324</v>
      </c>
    </row>
    <row r="18" spans="2:3" ht="15.75">
      <c r="B18" s="429">
        <v>1</v>
      </c>
      <c r="C18" s="429" t="s">
        <v>325</v>
      </c>
    </row>
    <row r="19" spans="2:3" ht="15.75">
      <c r="B19" s="429">
        <v>0</v>
      </c>
      <c r="C19" s="429" t="s">
        <v>326</v>
      </c>
    </row>
    <row r="21" spans="2:3" ht="15.75">
      <c r="B21" s="578" t="s">
        <v>357</v>
      </c>
      <c r="C21" s="578"/>
    </row>
    <row r="22" spans="2:3" ht="15.75">
      <c r="B22" s="32">
        <f>RANK(B19,$B$1:$B$5,-1)-1</f>
        <v>0</v>
      </c>
      <c r="C22" s="32" t="str">
        <f>INDEX($C$15:$C$19,MATCH(B22,$B$15:$B$19,0))</f>
        <v>Very light</v>
      </c>
    </row>
    <row r="23" spans="2:3" ht="15.75">
      <c r="B23" s="32">
        <f>RANK(B18,$B$1:$B$5,-1)-1</f>
        <v>1</v>
      </c>
      <c r="C23" s="32" t="str">
        <f>INDEX($C$15:$C$19,MATCH(B23,$B$15:$B$19,0))</f>
        <v>Light</v>
      </c>
    </row>
    <row r="24" spans="2:3" ht="15.75">
      <c r="B24" s="32">
        <f>RANK(B17,$B$1:$B$5,-1)-1</f>
        <v>2</v>
      </c>
      <c r="C24" s="32" t="str">
        <f>INDEX($C$15:$C$19,MATCH(B24,$B$15:$B$19,0))</f>
        <v>Moderate</v>
      </c>
    </row>
    <row r="25" spans="2:3" ht="15.75">
      <c r="B25" s="32">
        <f>RANK(B16,$B$1:$B$5,-1)-1</f>
        <v>3</v>
      </c>
      <c r="C25" s="32" t="str">
        <f>INDEX($C$15:$C$19,MATCH(B25,$B$15:$B$19,0))</f>
        <v>Intense</v>
      </c>
    </row>
    <row r="26" spans="2:3" ht="15.75">
      <c r="B26" s="32">
        <f>RANK(B15,$B$1:$B$5,-1)-1</f>
        <v>4</v>
      </c>
      <c r="C26" s="32" t="str">
        <f>INDEX($C$15:$C$19,MATCH(B26,$B$15:$B$19,0))</f>
        <v>No Rating</v>
      </c>
    </row>
  </sheetData>
  <sheetProtection password="C979" sheet="1" objects="1" scenarios="1"/>
  <mergeCells count="3">
    <mergeCell ref="B7:C7"/>
    <mergeCell ref="B21:C21"/>
    <mergeCell ref="B14:C14"/>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Sheet11"/>
  <dimension ref="A1:E62"/>
  <sheetViews>
    <sheetView zoomScalePageLayoutView="0" workbookViewId="0" topLeftCell="A1">
      <selection activeCell="D1" sqref="D1"/>
    </sheetView>
  </sheetViews>
  <sheetFormatPr defaultColWidth="9.00390625" defaultRowHeight="15.75"/>
  <cols>
    <col min="1" max="1" width="35.375" style="489" customWidth="1"/>
    <col min="2" max="2" width="45.125" style="489" customWidth="1"/>
    <col min="3" max="3" width="40.50390625" style="489" customWidth="1"/>
    <col min="4" max="4" width="65.00390625" style="489" customWidth="1"/>
    <col min="5" max="5" width="34.25390625" style="489" bestFit="1" customWidth="1"/>
    <col min="6" max="6" width="44.125" style="489" bestFit="1" customWidth="1"/>
    <col min="7" max="16384" width="9.00390625" style="489" customWidth="1"/>
  </cols>
  <sheetData>
    <row r="1" spans="1:5" ht="24" customHeight="1">
      <c r="A1" s="525"/>
      <c r="B1" s="487" t="s">
        <v>390</v>
      </c>
      <c r="C1" s="488"/>
      <c r="E1"/>
    </row>
    <row r="2" spans="1:5" ht="15.75">
      <c r="A2" s="625" t="s">
        <v>19</v>
      </c>
      <c r="B2" s="625"/>
      <c r="C2" s="491"/>
      <c r="E2"/>
    </row>
    <row r="3" spans="1:5" ht="15.75" hidden="1">
      <c r="A3" s="492" t="s">
        <v>20</v>
      </c>
      <c r="B3" s="493" t="s">
        <v>21</v>
      </c>
      <c r="C3" s="494" t="s">
        <v>22</v>
      </c>
      <c r="E3"/>
    </row>
    <row r="4" spans="1:5" ht="15.75" hidden="1">
      <c r="A4" s="492" t="s">
        <v>23</v>
      </c>
      <c r="B4" s="493" t="s">
        <v>24</v>
      </c>
      <c r="C4" s="495"/>
      <c r="E4"/>
    </row>
    <row r="5" spans="1:5" ht="15.75" hidden="1">
      <c r="A5" s="492" t="s">
        <v>25</v>
      </c>
      <c r="B5" s="493" t="s">
        <v>26</v>
      </c>
      <c r="C5" s="495"/>
      <c r="E5"/>
    </row>
    <row r="6" spans="1:5" ht="15.75">
      <c r="A6" s="496" t="s">
        <v>27</v>
      </c>
      <c r="B6" s="497" t="s">
        <v>92</v>
      </c>
      <c r="C6" s="495"/>
      <c r="E6"/>
    </row>
    <row r="7" spans="1:5" ht="48" customHeight="1">
      <c r="A7" s="496" t="s">
        <v>29</v>
      </c>
      <c r="B7" s="497" t="s">
        <v>93</v>
      </c>
      <c r="C7" s="495" t="str">
        <f>IF(Media_type="Consolidated media","Choices: "&amp;'Named Ranges'!B52,"Choices: "&amp;'Named Ranges'!B51)</f>
        <v>Choices: Homogeneous permeable, Heterogeneous permeable, Homogeneous impermeable, Heterogeneous impermeable</v>
      </c>
      <c r="E7"/>
    </row>
    <row r="8" spans="1:5" ht="18">
      <c r="A8" s="496"/>
      <c r="B8" s="498"/>
      <c r="C8" s="491"/>
      <c r="E8"/>
    </row>
    <row r="9" spans="1:5" ht="15.75">
      <c r="A9" s="625" t="s">
        <v>31</v>
      </c>
      <c r="B9" s="625"/>
      <c r="C9" s="491"/>
      <c r="E9"/>
    </row>
    <row r="10" spans="1:5" ht="15.75">
      <c r="A10" s="499" t="s">
        <v>32</v>
      </c>
      <c r="B10" s="490"/>
      <c r="C10" s="491"/>
      <c r="E10"/>
    </row>
    <row r="11" spans="1:5" ht="29.25" customHeight="1">
      <c r="A11" s="500" t="s">
        <v>391</v>
      </c>
      <c r="B11" s="501" t="s">
        <v>37</v>
      </c>
      <c r="C11" s="495" t="s">
        <v>406</v>
      </c>
      <c r="E11"/>
    </row>
    <row r="12" spans="1:5" ht="15" hidden="1">
      <c r="A12" s="503" t="s">
        <v>34</v>
      </c>
      <c r="B12" s="504" t="s">
        <v>35</v>
      </c>
      <c r="C12" s="491"/>
      <c r="E12" s="502"/>
    </row>
    <row r="13" spans="1:5" ht="15" hidden="1">
      <c r="A13" s="503" t="s">
        <v>33</v>
      </c>
      <c r="B13" s="501" t="s">
        <v>178</v>
      </c>
      <c r="C13" s="491"/>
      <c r="E13" s="502"/>
    </row>
    <row r="14" spans="1:5" ht="15" hidden="1">
      <c r="A14" s="505" t="s">
        <v>37</v>
      </c>
      <c r="B14" s="504" t="s">
        <v>38</v>
      </c>
      <c r="C14" s="491"/>
      <c r="E14" s="502"/>
    </row>
    <row r="15" spans="1:5" ht="15" hidden="1">
      <c r="A15" s="505" t="s">
        <v>39</v>
      </c>
      <c r="B15" s="504" t="s">
        <v>48</v>
      </c>
      <c r="C15" s="491"/>
      <c r="E15" s="506"/>
    </row>
    <row r="16" spans="1:3" ht="15" hidden="1">
      <c r="A16" s="505" t="s">
        <v>41</v>
      </c>
      <c r="B16" s="504" t="s">
        <v>49</v>
      </c>
      <c r="C16" s="491"/>
    </row>
    <row r="17" spans="1:3" ht="15">
      <c r="A17" s="507"/>
      <c r="B17" s="508"/>
      <c r="C17" s="491"/>
    </row>
    <row r="18" spans="1:3" ht="15">
      <c r="A18" s="509" t="s">
        <v>43</v>
      </c>
      <c r="B18" s="510" t="str">
        <f>IF(B11="","",INDEX(B12:B16,MATCH(B11,Class_Group,0)))</f>
        <v>Trichloroethene (TCE)</v>
      </c>
      <c r="C18" s="491"/>
    </row>
    <row r="19" spans="1:3" ht="15">
      <c r="A19" s="507"/>
      <c r="B19" s="510"/>
      <c r="C19" s="491"/>
    </row>
    <row r="20" spans="1:3" ht="15">
      <c r="A20" s="499" t="s">
        <v>44</v>
      </c>
      <c r="B20" s="510"/>
      <c r="C20" s="491"/>
    </row>
    <row r="21" spans="1:3" ht="38.25">
      <c r="A21" s="500" t="s">
        <v>391</v>
      </c>
      <c r="B21" s="501" t="s">
        <v>153</v>
      </c>
      <c r="C21" s="495" t="s">
        <v>405</v>
      </c>
    </row>
    <row r="22" spans="1:3" ht="15" hidden="1">
      <c r="A22" s="503" t="s">
        <v>34</v>
      </c>
      <c r="B22" s="504" t="s">
        <v>173</v>
      </c>
      <c r="C22" s="491"/>
    </row>
    <row r="23" spans="1:3" ht="15" hidden="1">
      <c r="A23" s="503" t="s">
        <v>33</v>
      </c>
      <c r="B23" s="501" t="s">
        <v>46</v>
      </c>
      <c r="C23" s="491"/>
    </row>
    <row r="24" spans="1:3" ht="15" hidden="1">
      <c r="A24" s="505" t="s">
        <v>37</v>
      </c>
      <c r="B24" s="504" t="s">
        <v>183</v>
      </c>
      <c r="C24" s="491"/>
    </row>
    <row r="25" spans="1:3" ht="15" hidden="1">
      <c r="A25" s="505" t="s">
        <v>39</v>
      </c>
      <c r="B25" s="504" t="s">
        <v>48</v>
      </c>
      <c r="C25" s="491"/>
    </row>
    <row r="26" spans="1:3" ht="15" hidden="1">
      <c r="A26" s="505" t="s">
        <v>41</v>
      </c>
      <c r="B26" s="504" t="s">
        <v>49</v>
      </c>
      <c r="C26" s="491"/>
    </row>
    <row r="27" spans="1:3" ht="15">
      <c r="A27" s="496"/>
      <c r="B27" s="511"/>
      <c r="C27" s="491"/>
    </row>
    <row r="28" spans="1:3" ht="15">
      <c r="A28" s="509" t="s">
        <v>50</v>
      </c>
      <c r="B28" s="512">
        <f>IF(OR(B21="",B21="None"),"",INDEX(B22:B26,MATCH(B21,Class_Group,0)))</f>
      </c>
      <c r="C28" s="491"/>
    </row>
    <row r="29" spans="1:3" ht="15">
      <c r="A29" s="496"/>
      <c r="B29" s="511"/>
      <c r="C29" s="491"/>
    </row>
    <row r="30" spans="1:3" ht="15">
      <c r="A30" s="625" t="s">
        <v>401</v>
      </c>
      <c r="B30" s="625"/>
      <c r="C30" s="491"/>
    </row>
    <row r="31" spans="1:3" ht="15">
      <c r="A31" s="513" t="s">
        <v>51</v>
      </c>
      <c r="B31" s="514" t="s">
        <v>221</v>
      </c>
      <c r="C31" s="491"/>
    </row>
    <row r="32" spans="1:3" ht="15.75">
      <c r="A32" s="513" t="s">
        <v>392</v>
      </c>
      <c r="B32" s="514" t="s">
        <v>53</v>
      </c>
      <c r="C32" s="491"/>
    </row>
    <row r="33" spans="1:3" ht="38.25">
      <c r="A33" s="513" t="s">
        <v>54</v>
      </c>
      <c r="B33" s="514" t="s">
        <v>224</v>
      </c>
      <c r="C33" s="495" t="s">
        <v>56</v>
      </c>
    </row>
    <row r="34" spans="1:3" ht="15.75">
      <c r="A34" s="515" t="s">
        <v>393</v>
      </c>
      <c r="B34" s="514" t="s">
        <v>232</v>
      </c>
      <c r="C34" s="491"/>
    </row>
    <row r="35" spans="1:3" ht="15">
      <c r="A35" s="515" t="s">
        <v>378</v>
      </c>
      <c r="B35" s="514" t="s">
        <v>81</v>
      </c>
      <c r="C35" s="491"/>
    </row>
    <row r="36" spans="1:3" ht="15" customHeight="1">
      <c r="A36" s="507"/>
      <c r="B36" s="507"/>
      <c r="C36" s="491"/>
    </row>
    <row r="37" spans="1:3" ht="18" customHeight="1">
      <c r="A37" s="626" t="s">
        <v>402</v>
      </c>
      <c r="B37" s="626"/>
      <c r="C37" s="491"/>
    </row>
    <row r="38" spans="1:3" ht="15">
      <c r="A38" s="507"/>
      <c r="B38" s="507"/>
      <c r="C38" s="491"/>
    </row>
    <row r="39" spans="1:3" ht="15">
      <c r="A39" s="515" t="s">
        <v>59</v>
      </c>
      <c r="B39" s="516" t="str">
        <f>B6</f>
        <v>Unconsolidated media</v>
      </c>
      <c r="C39" s="491" t="s">
        <v>60</v>
      </c>
    </row>
    <row r="40" spans="1:3" ht="15">
      <c r="A40" s="517" t="s">
        <v>61</v>
      </c>
      <c r="B40" s="507"/>
      <c r="C40" s="491"/>
    </row>
    <row r="41" spans="1:3" ht="15" hidden="1">
      <c r="A41" s="515" t="s">
        <v>62</v>
      </c>
      <c r="B41" s="501" t="s">
        <v>63</v>
      </c>
      <c r="C41" s="491"/>
    </row>
    <row r="42" spans="1:3" ht="31.5" customHeight="1" hidden="1">
      <c r="A42" s="515" t="s">
        <v>64</v>
      </c>
      <c r="B42" s="501" t="s">
        <v>66</v>
      </c>
      <c r="C42" s="491"/>
    </row>
    <row r="43" spans="1:3" ht="15" hidden="1">
      <c r="A43" s="515" t="s">
        <v>65</v>
      </c>
      <c r="B43" s="501" t="s">
        <v>66</v>
      </c>
      <c r="C43" s="491"/>
    </row>
    <row r="44" spans="1:3" ht="15">
      <c r="A44" s="518"/>
      <c r="B44" s="507"/>
      <c r="C44" s="491"/>
    </row>
    <row r="45" spans="1:3" ht="15">
      <c r="A45" s="517" t="s">
        <v>67</v>
      </c>
      <c r="B45" s="507"/>
      <c r="C45" s="491"/>
    </row>
    <row r="46" spans="1:3" ht="15">
      <c r="A46" s="518" t="s">
        <v>68</v>
      </c>
      <c r="B46" s="501" t="s">
        <v>418</v>
      </c>
      <c r="C46" s="491"/>
    </row>
    <row r="47" spans="1:3" ht="15" hidden="1">
      <c r="A47" s="519" t="s">
        <v>69</v>
      </c>
      <c r="B47" s="501" t="s">
        <v>274</v>
      </c>
      <c r="C47" s="491"/>
    </row>
    <row r="48" spans="1:3" ht="15" hidden="1">
      <c r="A48" s="520" t="s">
        <v>71</v>
      </c>
      <c r="B48" s="501" t="s">
        <v>276</v>
      </c>
      <c r="C48" s="491"/>
    </row>
    <row r="49" spans="1:3" ht="25.5">
      <c r="A49" s="518" t="s">
        <v>301</v>
      </c>
      <c r="B49" s="501" t="s">
        <v>74</v>
      </c>
      <c r="C49" s="491"/>
    </row>
    <row r="50" spans="1:3" ht="15">
      <c r="A50" s="518"/>
      <c r="B50" s="507"/>
      <c r="C50" s="491"/>
    </row>
    <row r="51" spans="1:3" ht="15">
      <c r="A51" s="517" t="s">
        <v>75</v>
      </c>
      <c r="B51" s="507"/>
      <c r="C51" s="491"/>
    </row>
    <row r="52" spans="1:3" ht="15">
      <c r="A52" s="515" t="s">
        <v>76</v>
      </c>
      <c r="B52" s="514" t="s">
        <v>315</v>
      </c>
      <c r="C52" s="491"/>
    </row>
    <row r="53" spans="1:3" ht="30.75" customHeight="1" hidden="1">
      <c r="A53" s="521" t="s">
        <v>77</v>
      </c>
      <c r="B53" s="522" t="s">
        <v>323</v>
      </c>
      <c r="C53" s="495" t="s">
        <v>394</v>
      </c>
    </row>
    <row r="54" spans="1:3" ht="30.75" customHeight="1" hidden="1">
      <c r="A54" s="521" t="s">
        <v>79</v>
      </c>
      <c r="B54" s="522" t="s">
        <v>324</v>
      </c>
      <c r="C54" s="495" t="s">
        <v>395</v>
      </c>
    </row>
    <row r="55" spans="1:3" ht="15" hidden="1">
      <c r="A55" s="515" t="s">
        <v>80</v>
      </c>
      <c r="B55" s="514" t="str">
        <f>B35</f>
        <v>Moderate (100-1,000 mg/kg or 1-10 mg/L)</v>
      </c>
      <c r="C55" s="491"/>
    </row>
    <row r="56" spans="1:3" ht="15">
      <c r="A56" s="518"/>
      <c r="B56" s="507"/>
      <c r="C56" s="523"/>
    </row>
    <row r="57" spans="1:3" ht="15">
      <c r="A57" s="518"/>
      <c r="B57" s="507"/>
      <c r="C57" s="491"/>
    </row>
    <row r="58" spans="1:3" ht="15">
      <c r="A58" s="625" t="s">
        <v>82</v>
      </c>
      <c r="B58" s="625"/>
      <c r="C58" s="491"/>
    </row>
    <row r="59" spans="1:3" ht="15">
      <c r="A59" s="515" t="s">
        <v>83</v>
      </c>
      <c r="B59" s="524">
        <v>0.5</v>
      </c>
      <c r="C59" s="495" t="s">
        <v>307</v>
      </c>
    </row>
    <row r="60" spans="1:3" ht="15">
      <c r="A60" s="515" t="s">
        <v>84</v>
      </c>
      <c r="B60" s="524">
        <v>0.3</v>
      </c>
      <c r="C60" s="495"/>
    </row>
    <row r="61" spans="1:3" ht="15">
      <c r="A61" s="515" t="s">
        <v>330</v>
      </c>
      <c r="B61" s="524">
        <v>0.2</v>
      </c>
      <c r="C61" s="495" t="s">
        <v>346</v>
      </c>
    </row>
    <row r="62" spans="1:3" ht="25.5" customHeight="1">
      <c r="A62" s="518"/>
      <c r="B62" s="540">
        <f>SUM(B59:B61)</f>
        <v>1</v>
      </c>
      <c r="C62" s="491"/>
    </row>
  </sheetData>
  <sheetProtection/>
  <mergeCells count="5">
    <mergeCell ref="A2:B2"/>
    <mergeCell ref="A9:B9"/>
    <mergeCell ref="A58:B58"/>
    <mergeCell ref="A30:B30"/>
    <mergeCell ref="A37:B37"/>
  </mergeCells>
  <conditionalFormatting sqref="A22:A26">
    <cfRule type="cellIs" priority="1" dxfId="6" operator="equal" stopIfTrue="1">
      <formula>$B$21</formula>
    </cfRule>
  </conditionalFormatting>
  <conditionalFormatting sqref="A12:A16">
    <cfRule type="cellIs" priority="2" dxfId="6" operator="equal" stopIfTrue="1">
      <formula>$B$11</formula>
    </cfRule>
  </conditionalFormatting>
  <conditionalFormatting sqref="B62">
    <cfRule type="cellIs" priority="3" dxfId="5" operator="equal" stopIfTrue="1">
      <formula>1</formula>
    </cfRule>
    <cfRule type="cellIs" priority="4" dxfId="9" operator="lessThan" stopIfTrue="1">
      <formula>1</formula>
    </cfRule>
    <cfRule type="cellIs" priority="5" dxfId="3" operator="greaterThan" stopIfTrue="1">
      <formula>1</formula>
    </cfRule>
  </conditionalFormatting>
  <dataValidations count="26">
    <dataValidation type="list" allowBlank="1" showInputMessage="1" showErrorMessage="1" sqref="B12 B22">
      <formula1>Common_contaminant_mixture</formula1>
    </dataValidation>
    <dataValidation type="list" allowBlank="1" showInputMessage="1" showErrorMessage="1" sqref="B13 B23">
      <formula1>CommonFuels</formula1>
    </dataValidation>
    <dataValidation type="list" allowBlank="1" showInputMessage="1" showErrorMessage="1" sqref="B14 B24">
      <formula1>Chlorinateds</formula1>
    </dataValidation>
    <dataValidation type="list" allowBlank="1" showInputMessage="1" showErrorMessage="1" sqref="B15 B25">
      <formula1>Chlorinated_Aromatics</formula1>
    </dataValidation>
    <dataValidation type="list" allowBlank="1" showInputMessage="1" showErrorMessage="1" sqref="B16 B26:B27">
      <formula1>Explosives</formula1>
    </dataValidation>
    <dataValidation type="list" allowBlank="1" showInputMessage="1" showErrorMessage="1" sqref="B11">
      <formula1>Class_Group</formula1>
    </dataValidation>
    <dataValidation type="list" allowBlank="1" showInputMessage="1" showErrorMessage="1" sqref="B34">
      <formula1>Amenability</formula1>
    </dataValidation>
    <dataValidation type="list" allowBlank="1" showInputMessage="1" showErrorMessage="1" sqref="B31">
      <formula1>pH_range</formula1>
    </dataValidation>
    <dataValidation type="list" allowBlank="1" showInputMessage="1" showErrorMessage="1" sqref="B32">
      <formula1>Alkalinity</formula1>
    </dataValidation>
    <dataValidation type="list" allowBlank="1" showInputMessage="1" showErrorMessage="1" sqref="B33">
      <formula1>Chloride</formula1>
    </dataValidation>
    <dataValidation type="list" allowBlank="1" showInputMessage="1" showErrorMessage="1" sqref="B35">
      <formula1>Contaminant_mass_distribution</formula1>
    </dataValidation>
    <dataValidation type="list" allowBlank="1" showInputMessage="1" showErrorMessage="1" sqref="B3">
      <formula1>"Low,High"</formula1>
    </dataValidation>
    <dataValidation type="list" allowBlank="1" showInputMessage="1" showErrorMessage="1" sqref="B4">
      <formula1>Removal_magnitude</formula1>
    </dataValidation>
    <dataValidation type="list" allowBlank="1" showInputMessage="1" showErrorMessage="1" sqref="B5">
      <formula1>Remediation_goal_type</formula1>
    </dataValidation>
    <dataValidation type="list" allowBlank="1" showInputMessage="1" showErrorMessage="1" sqref="B6">
      <formula1>media</formula1>
    </dataValidation>
    <dataValidation type="list" allowBlank="1" showInputMessage="1" showErrorMessage="1" sqref="B41">
      <formula1>Fractures</formula1>
    </dataValidation>
    <dataValidation type="list" allowBlank="1" showInputMessage="1" showErrorMessage="1" sqref="B42">
      <formula1>Perm_Consol</formula1>
    </dataValidation>
    <dataValidation type="list" allowBlank="1" showInputMessage="1" showErrorMessage="1" sqref="B43">
      <formula1>Transmis_consol</formula1>
    </dataValidation>
    <dataValidation type="list" allowBlank="1" showInputMessage="1" showErrorMessage="1" sqref="B46">
      <formula1>Hydraulic_conductivity</formula1>
    </dataValidation>
    <dataValidation type="list" allowBlank="1" showInputMessage="1" showErrorMessage="1" sqref="B47">
      <formula1>Heterogeneity</formula1>
    </dataValidation>
    <dataValidation type="list" allowBlank="1" showInputMessage="1" showErrorMessage="1" sqref="B48">
      <formula1>Hetero_type</formula1>
    </dataValidation>
    <dataValidation type="list" allowBlank="1" showInputMessage="1" showErrorMessage="1" sqref="B49">
      <formula1>Hetero_scale</formula1>
    </dataValidation>
    <dataValidation type="list" allowBlank="1" showInputMessage="1" showErrorMessage="1" sqref="B52">
      <formula1>Delivery_Depth</formula1>
    </dataValidation>
    <dataValidation type="list" showInputMessage="1" showErrorMessage="1" sqref="B7">
      <formula1>media_list</formula1>
    </dataValidation>
    <dataValidation type="list" allowBlank="1" showInputMessage="1" showErrorMessage="1" sqref="B21">
      <formula1>Class_Group2</formula1>
    </dataValidation>
    <dataValidation type="list" allowBlank="1" showInputMessage="1" showErrorMessage="1" sqref="B53:B54">
      <formula1>"Intense, Moderate, Light, Very light"</formula1>
    </dataValidation>
  </dataValidations>
  <printOptions/>
  <pageMargins left="0.75" right="0.75" top="1" bottom="1" header="0.5" footer="0.5"/>
  <pageSetup horizontalDpi="600" verticalDpi="600" orientation="portrait" r:id="rId2"/>
  <headerFooter alignWithMargins="0">
    <oddHeader>&amp;C&amp;"Arial,Regular"&amp;8Attachment 5:  ISCO Screening Tool</oddHeader>
    <oddFooter>&amp;L&amp;"Arial,Regular"&amp;8&amp;A
&amp;D, &amp;T&amp;C&amp;"Arial,Regular"&amp;8Page &amp;P of &amp;N</oddFooter>
  </headerFooter>
  <rowBreaks count="1" manualBreakCount="1">
    <brk id="36" max="2" man="1"/>
  </rowBreaks>
  <legacyDrawing r:id="rId1"/>
</worksheet>
</file>

<file path=xl/worksheets/sheet11.xml><?xml version="1.0" encoding="utf-8"?>
<worksheet xmlns="http://schemas.openxmlformats.org/spreadsheetml/2006/main" xmlns:r="http://schemas.openxmlformats.org/officeDocument/2006/relationships">
  <sheetPr codeName="Sheet1">
    <pageSetUpPr fitToPage="1"/>
  </sheetPr>
  <dimension ref="A1:W107"/>
  <sheetViews>
    <sheetView zoomScale="75" zoomScaleNormal="75" zoomScalePageLayoutView="0" workbookViewId="0" topLeftCell="A1">
      <pane xSplit="1" ySplit="2" topLeftCell="B3" activePane="bottomRight" state="frozen"/>
      <selection pane="topLeft" activeCell="A1" sqref="A1:IV1"/>
      <selection pane="topRight" activeCell="L1" sqref="L1"/>
      <selection pane="bottomLeft" activeCell="A5" sqref="A5:IV5"/>
      <selection pane="bottomRight" activeCell="A1" sqref="A1"/>
    </sheetView>
  </sheetViews>
  <sheetFormatPr defaultColWidth="8.00390625" defaultRowHeight="15.75"/>
  <cols>
    <col min="1" max="1" width="24.75390625" style="313" customWidth="1"/>
    <col min="2" max="2" width="11.875" style="313" customWidth="1"/>
    <col min="3" max="3" width="12.875" style="313" customWidth="1"/>
    <col min="4" max="4" width="12.50390625" style="313" customWidth="1"/>
    <col min="5" max="5" width="12.875" style="313" customWidth="1"/>
    <col min="6" max="6" width="11.625" style="313" customWidth="1"/>
    <col min="7" max="7" width="13.25390625" style="313" customWidth="1"/>
    <col min="8" max="8" width="15.625" style="313" customWidth="1"/>
    <col min="9" max="9" width="33.625" style="316" customWidth="1"/>
    <col min="10" max="10" width="11.625" style="313" bestFit="1" customWidth="1"/>
    <col min="11" max="11" width="18.00390625" style="313" customWidth="1"/>
    <col min="12" max="17" width="17.625" style="313" customWidth="1"/>
    <col min="18" max="19" width="13.50390625" style="313" customWidth="1"/>
    <col min="20" max="20" width="14.875" style="313" customWidth="1"/>
    <col min="21" max="21" width="13.50390625" style="313" customWidth="1"/>
    <col min="22" max="22" width="14.50390625" style="313" customWidth="1"/>
    <col min="23" max="23" width="13.50390625" style="313" customWidth="1"/>
    <col min="24" max="24" width="1.4921875" style="313" customWidth="1"/>
    <col min="25" max="16384" width="8.00390625" style="313" customWidth="1"/>
  </cols>
  <sheetData>
    <row r="1" spans="2:23" ht="19.5" customHeight="1">
      <c r="B1" s="314"/>
      <c r="C1" s="314"/>
      <c r="D1" s="315"/>
      <c r="E1" s="315"/>
      <c r="F1" s="315"/>
      <c r="G1" s="315"/>
      <c r="H1" s="356"/>
      <c r="I1" s="631" t="s">
        <v>344</v>
      </c>
      <c r="J1" s="627" t="s">
        <v>374</v>
      </c>
      <c r="K1" s="639" t="s">
        <v>114</v>
      </c>
      <c r="L1" s="641" t="s">
        <v>116</v>
      </c>
      <c r="M1" s="642"/>
      <c r="N1" s="641" t="s">
        <v>115</v>
      </c>
      <c r="O1" s="643"/>
      <c r="P1" s="642"/>
      <c r="Q1" s="645" t="s">
        <v>345</v>
      </c>
      <c r="R1" s="641" t="s">
        <v>117</v>
      </c>
      <c r="S1" s="643"/>
      <c r="T1" s="643"/>
      <c r="U1" s="643"/>
      <c r="V1" s="643"/>
      <c r="W1" s="644"/>
    </row>
    <row r="2" spans="2:23" ht="39.75" customHeight="1" thickBot="1">
      <c r="B2" s="317"/>
      <c r="C2" s="317"/>
      <c r="D2" s="318"/>
      <c r="E2" s="315"/>
      <c r="F2" s="315"/>
      <c r="G2" s="315"/>
      <c r="H2" s="357"/>
      <c r="I2" s="632"/>
      <c r="J2" s="628"/>
      <c r="K2" s="640"/>
      <c r="L2" s="319" t="s">
        <v>208</v>
      </c>
      <c r="M2" s="319" t="s">
        <v>209</v>
      </c>
      <c r="N2" s="319" t="s">
        <v>331</v>
      </c>
      <c r="O2" s="319" t="s">
        <v>413</v>
      </c>
      <c r="P2" s="319" t="s">
        <v>333</v>
      </c>
      <c r="Q2" s="646"/>
      <c r="R2" s="319" t="s">
        <v>119</v>
      </c>
      <c r="S2" s="319" t="s">
        <v>212</v>
      </c>
      <c r="T2" s="319" t="s">
        <v>213</v>
      </c>
      <c r="U2" s="319" t="s">
        <v>118</v>
      </c>
      <c r="V2" s="320" t="s">
        <v>334</v>
      </c>
      <c r="W2" s="321" t="s">
        <v>215</v>
      </c>
    </row>
    <row r="3" spans="8:23" ht="15.75" customHeight="1">
      <c r="H3" s="635" t="s">
        <v>130</v>
      </c>
      <c r="I3" s="636"/>
      <c r="J3" s="275">
        <v>3</v>
      </c>
      <c r="K3" s="558" t="str">
        <f>INDEX('Contaminants vs oxidants'!$B$51:$N$51,,MATCH(K1,'Contaminants vs oxidants'!$B$1:$M$1,0))</f>
        <v>Excellent</v>
      </c>
      <c r="L3" s="550" t="str">
        <f>INDEX('Contaminants vs oxidants'!$B$51:$N$51,,MATCH(L1,'Contaminants vs oxidants'!$B$1:$M$1,0))</f>
        <v>Excellent</v>
      </c>
      <c r="M3" s="550" t="str">
        <f>INDEX('Contaminants vs oxidants'!$B$51:$N$51,,13)</f>
        <v>Excellent</v>
      </c>
      <c r="N3" s="550" t="str">
        <f>INDEX('Contaminants vs oxidants'!$B$51:$N$51,,MATCH(N1,'Contaminants vs oxidants'!$B$1:$M$1,0))</f>
        <v>Excellent</v>
      </c>
      <c r="O3" s="550" t="str">
        <f>INDEX('Contaminants vs oxidants'!$B$51:$N$51,,3)</f>
        <v>Excellent</v>
      </c>
      <c r="P3" s="550" t="str">
        <f>INDEX('Contaminants vs oxidants'!$B$51:$N$51,,4)</f>
        <v>Excellent</v>
      </c>
      <c r="Q3" s="550" t="str">
        <f>INDEX('Contaminants vs oxidants'!$B$51:$N$51,,MATCH(Q1,'Contaminants vs oxidants'!$B$1:$M$1,0))</f>
        <v>Excellent</v>
      </c>
      <c r="R3" s="550" t="str">
        <f>INDEX('Contaminants vs oxidants'!$B$51:$N$51,,MATCH(R1,'Contaminants vs oxidants'!$B$1:$M$1,0))</f>
        <v>Excellent</v>
      </c>
      <c r="S3" s="550" t="str">
        <f>INDEX('Contaminants vs oxidants'!$B$51:$N$51,,7)</f>
        <v>Excellent</v>
      </c>
      <c r="T3" s="550" t="str">
        <f>INDEX('Contaminants vs oxidants'!$B$51:$N$51,,8)</f>
        <v>Excellent</v>
      </c>
      <c r="U3" s="550" t="str">
        <f>INDEX('Contaminants vs oxidants'!$B$51:$N$51,,9)</f>
        <v>Excellent</v>
      </c>
      <c r="V3" s="550" t="str">
        <f>INDEX('Contaminants vs oxidants'!$B$51:$N$51,,10)</f>
        <v>Excellent</v>
      </c>
      <c r="W3" s="550" t="str">
        <f>INDEX('Contaminants vs oxidants'!$B$51:$N$51,,11)</f>
        <v>Excellent</v>
      </c>
    </row>
    <row r="4" spans="8:23" ht="16.5" customHeight="1" thickBot="1">
      <c r="H4" s="637" t="s">
        <v>131</v>
      </c>
      <c r="I4" s="638"/>
      <c r="J4" s="275">
        <v>3</v>
      </c>
      <c r="K4" s="549">
        <f>IF(ISNA(INDEX('Contaminants vs oxidants'!$B$52:$N$52,,MATCH(K1,'Contaminants vs oxidants'!$B$1:$M$1,0))),"",INDEX('Contaminants vs oxidants'!$B$52:$N$52,,MATCH(K1,'Contaminants vs oxidants'!$B$1:$M$1,0)))</f>
      </c>
      <c r="L4" s="548">
        <f>IF(ISNA(INDEX('Contaminants vs oxidants'!$B$52:$N$52,,MATCH(L1,'Contaminants vs oxidants'!$B$1:$M$1,0))),"",INDEX('Contaminants vs oxidants'!$B$52:$N$52,,MATCH(L1,'Contaminants vs oxidants'!$B$1:$M$1,0)))</f>
      </c>
      <c r="M4" s="548">
        <f>IF(ISNA(INDEX('Contaminants vs oxidants'!$B$52:$N$52,,13)),"",INDEX('Contaminants vs oxidants'!$B$52:$N$52,,13))</f>
      </c>
      <c r="N4" s="548">
        <f>IF(ISNA(INDEX('Contaminants vs oxidants'!$B$52:$N$52,,MATCH(N1,'Contaminants vs oxidants'!$B$1:$M$1,0))),"",INDEX('Contaminants vs oxidants'!$B$52:$N$52,,MATCH(N1,'Contaminants vs oxidants'!$B$1:$M$1,0)))</f>
      </c>
      <c r="O4" s="548">
        <f>IF(ISNA(INDEX('Contaminants vs oxidants'!$B$52:$N$52,,3)),"",INDEX('Contaminants vs oxidants'!$B$52:$N$52,,3))</f>
      </c>
      <c r="P4" s="548">
        <f>IF(ISNA(INDEX('Contaminants vs oxidants'!$B$52:$N$52,,4)),"",INDEX('Contaminants vs oxidants'!$B$52:$N$52,,4))</f>
      </c>
      <c r="Q4" s="548">
        <f>IF(ISNA(INDEX('Contaminants vs oxidants'!$B$52:$N$52,,MATCH(Q1,'Contaminants vs oxidants'!$B$1:$M$1,0))),"",INDEX('Contaminants vs oxidants'!$B$52:$N$52,,MATCH(Q1,'Contaminants vs oxidants'!$B$1:$M$1,0)))</f>
      </c>
      <c r="R4" s="548">
        <f>IF(ISNA(INDEX('Contaminants vs oxidants'!$B$52:$N$52,,MATCH(R1,'Contaminants vs oxidants'!$B$1:$M$1,0))),"",INDEX('Contaminants vs oxidants'!$B$52:$N$52,,MATCH(R1,'Contaminants vs oxidants'!$B$1:$M$1,0)))</f>
      </c>
      <c r="S4" s="548">
        <f>IF(ISNA(INDEX('Contaminants vs oxidants'!$B$52:$N$52,,7)),"",INDEX('Contaminants vs oxidants'!$B$52:$N$52,,7))</f>
      </c>
      <c r="T4" s="548">
        <f>IF(ISNA(INDEX('Contaminants vs oxidants'!$B$52:$N$52,,8)),"",INDEX('Contaminants vs oxidants'!$B$52:$N$52,,8))</f>
      </c>
      <c r="U4" s="548">
        <f>IF(ISNA(INDEX('Contaminants vs oxidants'!$B$52:$N$52,,9)),"",INDEX('Contaminants vs oxidants'!$B$52:$N$52,,9))</f>
      </c>
      <c r="V4" s="548">
        <f>IF(ISNA(INDEX('Contaminants vs oxidants'!$B$52:$N$52,,10)),"",INDEX('Contaminants vs oxidants'!$B$52:$N$52,,10))</f>
      </c>
      <c r="W4" s="548">
        <f>IF(ISNA(INDEX('Contaminants vs oxidants'!$B$52:$N$52,,11)),"",INDEX('Contaminants vs oxidants'!$B$52:$N$52,,11))</f>
      </c>
    </row>
    <row r="5" spans="8:23" ht="33" customHeight="1" thickBot="1">
      <c r="H5" s="629" t="s">
        <v>380</v>
      </c>
      <c r="I5" s="630"/>
      <c r="J5" s="328"/>
      <c r="K5" s="475" t="str">
        <f aca="true" t="shared" si="0" ref="K5:W5">VLOOKUP(ROUND(LN(K52),0),ReverseOrder,2)</f>
        <v>Excellent</v>
      </c>
      <c r="L5" s="551" t="str">
        <f t="shared" si="0"/>
        <v>Excellent</v>
      </c>
      <c r="M5" s="551" t="str">
        <f t="shared" si="0"/>
        <v>Excellent</v>
      </c>
      <c r="N5" s="551" t="str">
        <f t="shared" si="0"/>
        <v>Excellent</v>
      </c>
      <c r="O5" s="551" t="str">
        <f t="shared" si="0"/>
        <v>Excellent</v>
      </c>
      <c r="P5" s="551" t="str">
        <f t="shared" si="0"/>
        <v>Excellent</v>
      </c>
      <c r="Q5" s="551" t="str">
        <f t="shared" si="0"/>
        <v>Excellent</v>
      </c>
      <c r="R5" s="551" t="str">
        <f t="shared" si="0"/>
        <v>Excellent</v>
      </c>
      <c r="S5" s="551" t="str">
        <f t="shared" si="0"/>
        <v>Excellent</v>
      </c>
      <c r="T5" s="551" t="str">
        <f t="shared" si="0"/>
        <v>Excellent</v>
      </c>
      <c r="U5" s="551" t="str">
        <f t="shared" si="0"/>
        <v>Excellent</v>
      </c>
      <c r="V5" s="551" t="str">
        <f t="shared" si="0"/>
        <v>Excellent</v>
      </c>
      <c r="W5" s="552" t="str">
        <f t="shared" si="0"/>
        <v>Excellent</v>
      </c>
    </row>
    <row r="6" spans="8:23" ht="15.75" customHeight="1">
      <c r="H6" s="635" t="s">
        <v>132</v>
      </c>
      <c r="I6" s="636"/>
      <c r="J6" s="275">
        <v>3</v>
      </c>
      <c r="K6" s="544" t="str">
        <f>'Input vs oxidant approach'!D40</f>
        <v>Good</v>
      </c>
      <c r="L6" s="417" t="str">
        <f>'Input vs oxidant approach'!E40</f>
        <v>Good</v>
      </c>
      <c r="M6" s="417" t="str">
        <f>'Input vs oxidant approach'!F40</f>
        <v>Good</v>
      </c>
      <c r="N6" s="417" t="str">
        <f>'Input vs oxidant approach'!G40</f>
        <v>Good</v>
      </c>
      <c r="O6" s="417" t="str">
        <f>'Input vs oxidant approach'!H40</f>
        <v>Good</v>
      </c>
      <c r="P6" s="417" t="str">
        <f>'Input vs oxidant approach'!I40</f>
        <v>Good</v>
      </c>
      <c r="Q6" s="417" t="str">
        <f>'Input vs oxidant approach'!J40</f>
        <v>Good</v>
      </c>
      <c r="R6" s="324" t="str">
        <f>'Input vs oxidant approach'!K40</f>
        <v>Excellent</v>
      </c>
      <c r="S6" s="324" t="str">
        <f>'Input vs oxidant approach'!L40</f>
        <v>Excellent</v>
      </c>
      <c r="T6" s="324" t="str">
        <f>'Input vs oxidant approach'!M40</f>
        <v>Excellent</v>
      </c>
      <c r="U6" s="324" t="str">
        <f>'Input vs oxidant approach'!N40</f>
        <v>Excellent</v>
      </c>
      <c r="V6" s="324" t="str">
        <f>'Input vs oxidant approach'!O40</f>
        <v>Excellent</v>
      </c>
      <c r="W6" s="325" t="str">
        <f>'Input vs oxidant approach'!P40</f>
        <v>Excellent</v>
      </c>
    </row>
    <row r="7" spans="8:23" ht="25.5">
      <c r="H7" s="633" t="s">
        <v>133</v>
      </c>
      <c r="I7" s="634"/>
      <c r="J7" s="275">
        <v>3</v>
      </c>
      <c r="K7" s="326" t="str">
        <f>'Input vs oxidant approach'!D37</f>
        <v>Excellent</v>
      </c>
      <c r="L7" s="327" t="str">
        <f>'Input vs oxidant approach'!E37</f>
        <v>Excellent</v>
      </c>
      <c r="M7" s="327" t="str">
        <f>'Input vs oxidant approach'!F37</f>
        <v>Excellent</v>
      </c>
      <c r="N7" s="327" t="str">
        <f>'Input vs oxidant approach'!G37</f>
        <v>Excellent</v>
      </c>
      <c r="O7" s="336" t="str">
        <f>'Input vs oxidant approach'!H37</f>
        <v>Good</v>
      </c>
      <c r="P7" s="336" t="str">
        <f>'Input vs oxidant approach'!I37</f>
        <v>Good</v>
      </c>
      <c r="Q7" s="336" t="str">
        <f>'Input vs oxidant approach'!J37</f>
        <v>Good</v>
      </c>
      <c r="R7" s="335" t="str">
        <f>'Input vs oxidant approach'!K37</f>
        <v>Fair</v>
      </c>
      <c r="S7" s="327" t="str">
        <f>'Input vs oxidant approach'!L37</f>
        <v>Excellent</v>
      </c>
      <c r="T7" s="336" t="str">
        <f>'Input vs oxidant approach'!M37</f>
        <v>Good</v>
      </c>
      <c r="U7" s="327" t="str">
        <f>'Input vs oxidant approach'!N37</f>
        <v>Excellent</v>
      </c>
      <c r="V7" s="327" t="str">
        <f>'Input vs oxidant approach'!O37</f>
        <v>Excellent</v>
      </c>
      <c r="W7" s="542" t="str">
        <f>'Input vs oxidant approach'!P37</f>
        <v>Excellent</v>
      </c>
    </row>
    <row r="8" spans="8:23" ht="15.75" customHeight="1">
      <c r="H8" s="633" t="s">
        <v>134</v>
      </c>
      <c r="I8" s="634"/>
      <c r="J8" s="275">
        <v>3</v>
      </c>
      <c r="K8" s="326" t="str">
        <f>'Input vs oxidant approach'!D38</f>
        <v>Excellent</v>
      </c>
      <c r="L8" s="327" t="str">
        <f>'Input vs oxidant approach'!E38</f>
        <v>Excellent</v>
      </c>
      <c r="M8" s="327" t="str">
        <f>'Input vs oxidant approach'!F38</f>
        <v>Excellent</v>
      </c>
      <c r="N8" s="327" t="str">
        <f>'Input vs oxidant approach'!G38</f>
        <v>Excellent</v>
      </c>
      <c r="O8" s="327" t="str">
        <f>'Input vs oxidant approach'!H38</f>
        <v>Excellent</v>
      </c>
      <c r="P8" s="327" t="str">
        <f>'Input vs oxidant approach'!I38</f>
        <v>Excellent</v>
      </c>
      <c r="Q8" s="327" t="str">
        <f>'Input vs oxidant approach'!J38</f>
        <v>Excellent</v>
      </c>
      <c r="R8" s="327" t="str">
        <f>'Input vs oxidant approach'!K38</f>
        <v>Excellent</v>
      </c>
      <c r="S8" s="327" t="str">
        <f>'Input vs oxidant approach'!L38</f>
        <v>Excellent</v>
      </c>
      <c r="T8" s="327" t="str">
        <f>'Input vs oxidant approach'!M38</f>
        <v>Excellent</v>
      </c>
      <c r="U8" s="327" t="str">
        <f>'Input vs oxidant approach'!N38</f>
        <v>Excellent</v>
      </c>
      <c r="V8" s="327" t="str">
        <f>'Input vs oxidant approach'!O38</f>
        <v>Excellent</v>
      </c>
      <c r="W8" s="542" t="str">
        <f>'Input vs oxidant approach'!P38</f>
        <v>Excellent</v>
      </c>
    </row>
    <row r="9" spans="8:23" ht="15.75" customHeight="1">
      <c r="H9" s="633" t="s">
        <v>135</v>
      </c>
      <c r="I9" s="634"/>
      <c r="J9" s="275">
        <v>3</v>
      </c>
      <c r="K9" s="326" t="str">
        <f>'Input vs oxidant approach'!D39</f>
        <v>Excellent</v>
      </c>
      <c r="L9" s="336" t="str">
        <f>'Input vs oxidant approach'!E39</f>
        <v>Good</v>
      </c>
      <c r="M9" s="336" t="str">
        <f>'Input vs oxidant approach'!F39</f>
        <v>Good</v>
      </c>
      <c r="N9" s="336" t="str">
        <f>'Input vs oxidant approach'!G39</f>
        <v>Good</v>
      </c>
      <c r="O9" s="336" t="str">
        <f>'Input vs oxidant approach'!H39</f>
        <v>Good</v>
      </c>
      <c r="P9" s="336" t="str">
        <f>'Input vs oxidant approach'!I39</f>
        <v>Good</v>
      </c>
      <c r="Q9" s="336" t="str">
        <f>'Input vs oxidant approach'!J39</f>
        <v>Good</v>
      </c>
      <c r="R9" s="336" t="str">
        <f>'Input vs oxidant approach'!K39</f>
        <v>Good</v>
      </c>
      <c r="S9" s="335" t="str">
        <f>'Input vs oxidant approach'!L39</f>
        <v>Fair</v>
      </c>
      <c r="T9" s="336" t="str">
        <f>'Input vs oxidant approach'!M39</f>
        <v>Good</v>
      </c>
      <c r="U9" s="336" t="str">
        <f>'Input vs oxidant approach'!N39</f>
        <v>Good</v>
      </c>
      <c r="V9" s="336" t="str">
        <f>'Input vs oxidant approach'!O39</f>
        <v>Good</v>
      </c>
      <c r="W9" s="541" t="str">
        <f>'Input vs oxidant approach'!P39</f>
        <v>Good</v>
      </c>
    </row>
    <row r="10" spans="8:23" ht="16.5" customHeight="1" thickBot="1">
      <c r="H10" s="637" t="s">
        <v>136</v>
      </c>
      <c r="I10" s="638"/>
      <c r="J10" s="275">
        <v>3</v>
      </c>
      <c r="K10" s="476" t="str">
        <f>'Input vs oxidant approach'!D41</f>
        <v>Excellent</v>
      </c>
      <c r="L10" s="322" t="str">
        <f>'Input vs oxidant approach'!E41</f>
        <v>Excellent</v>
      </c>
      <c r="M10" s="322" t="str">
        <f>'Input vs oxidant approach'!F41</f>
        <v>Excellent</v>
      </c>
      <c r="N10" s="322" t="str">
        <f>'Input vs oxidant approach'!G41</f>
        <v>Excellent</v>
      </c>
      <c r="O10" s="322" t="str">
        <f>'Input vs oxidant approach'!H41</f>
        <v>Excellent</v>
      </c>
      <c r="P10" s="322" t="str">
        <f>'Input vs oxidant approach'!I41</f>
        <v>Excellent</v>
      </c>
      <c r="Q10" s="322" t="str">
        <f>'Input vs oxidant approach'!J41</f>
        <v>Excellent</v>
      </c>
      <c r="R10" s="322" t="str">
        <f>'Input vs oxidant approach'!K41</f>
        <v>Excellent</v>
      </c>
      <c r="S10" s="322" t="str">
        <f>'Input vs oxidant approach'!L41</f>
        <v>Excellent</v>
      </c>
      <c r="T10" s="322" t="str">
        <f>'Input vs oxidant approach'!M41</f>
        <v>Excellent</v>
      </c>
      <c r="U10" s="322" t="str">
        <f>'Input vs oxidant approach'!N41</f>
        <v>Excellent</v>
      </c>
      <c r="V10" s="485" t="str">
        <f>'Input vs oxidant approach'!O41</f>
        <v>Good</v>
      </c>
      <c r="W10" s="323" t="str">
        <f>'Input vs oxidant approach'!P41</f>
        <v>Excellent</v>
      </c>
    </row>
    <row r="11" spans="8:23" ht="33" customHeight="1" thickBot="1">
      <c r="H11" s="629" t="s">
        <v>381</v>
      </c>
      <c r="I11" s="630"/>
      <c r="J11" s="328"/>
      <c r="K11" s="475" t="str">
        <f>K61</f>
        <v>Excellent</v>
      </c>
      <c r="L11" s="543" t="str">
        <f aca="true" t="shared" si="1" ref="L11:W11">L61</f>
        <v>Good</v>
      </c>
      <c r="M11" s="543" t="str">
        <f t="shared" si="1"/>
        <v>Good</v>
      </c>
      <c r="N11" s="543" t="str">
        <f t="shared" si="1"/>
        <v>Good</v>
      </c>
      <c r="O11" s="543" t="str">
        <f t="shared" si="1"/>
        <v>Good</v>
      </c>
      <c r="P11" s="543" t="str">
        <f t="shared" si="1"/>
        <v>Good</v>
      </c>
      <c r="Q11" s="543" t="str">
        <f t="shared" si="1"/>
        <v>Good</v>
      </c>
      <c r="R11" s="543" t="str">
        <f t="shared" si="1"/>
        <v>Good</v>
      </c>
      <c r="S11" s="543" t="str">
        <f t="shared" si="1"/>
        <v>Good</v>
      </c>
      <c r="T11" s="543" t="str">
        <f t="shared" si="1"/>
        <v>Good</v>
      </c>
      <c r="U11" s="475" t="str">
        <f t="shared" si="1"/>
        <v>Excellent</v>
      </c>
      <c r="V11" s="543" t="str">
        <f t="shared" si="1"/>
        <v>Good</v>
      </c>
      <c r="W11" s="475" t="str">
        <f t="shared" si="1"/>
        <v>Excellent</v>
      </c>
    </row>
    <row r="12" spans="11:23" ht="36" customHeight="1" thickBot="1">
      <c r="K12" s="329"/>
      <c r="L12" s="329"/>
      <c r="M12" s="329"/>
      <c r="N12" s="329"/>
      <c r="O12" s="329"/>
      <c r="P12" s="329"/>
      <c r="Q12" s="329"/>
      <c r="R12" s="329"/>
      <c r="S12" s="329"/>
      <c r="T12" s="329"/>
      <c r="U12" s="329"/>
      <c r="V12" s="329"/>
      <c r="W12" s="329"/>
    </row>
    <row r="13" spans="1:23" ht="75.75" customHeight="1" thickBot="1" thickTop="1">
      <c r="A13" s="396" t="s">
        <v>376</v>
      </c>
      <c r="B13" s="397" t="s">
        <v>335</v>
      </c>
      <c r="C13" s="398" t="str">
        <f>"Amenability of delivery technique to site "&amp;'Input vs distribution technique'!B83</f>
        <v>Amenability of delivery technique to site hydraulic conductivity</v>
      </c>
      <c r="D13" s="398" t="s">
        <v>336</v>
      </c>
      <c r="E13" s="398" t="s">
        <v>337</v>
      </c>
      <c r="F13" s="399" t="s">
        <v>80</v>
      </c>
      <c r="G13" s="398" t="s">
        <v>399</v>
      </c>
      <c r="H13" s="398" t="s">
        <v>400</v>
      </c>
      <c r="I13" s="400" t="s">
        <v>377</v>
      </c>
      <c r="K13" s="650" t="s">
        <v>373</v>
      </c>
      <c r="L13" s="651"/>
      <c r="M13" s="651"/>
      <c r="N13" s="651"/>
      <c r="O13" s="651"/>
      <c r="P13" s="651"/>
      <c r="Q13" s="651"/>
      <c r="R13" s="651"/>
      <c r="S13" s="651"/>
      <c r="T13" s="651"/>
      <c r="U13" s="651"/>
      <c r="V13" s="651"/>
      <c r="W13" s="652"/>
    </row>
    <row r="14" spans="1:23" ht="15.75" thickBot="1">
      <c r="A14" s="401" t="s">
        <v>375</v>
      </c>
      <c r="B14" s="408">
        <v>3</v>
      </c>
      <c r="C14" s="408">
        <v>3</v>
      </c>
      <c r="D14" s="408">
        <v>5</v>
      </c>
      <c r="E14" s="408">
        <v>3</v>
      </c>
      <c r="F14" s="408">
        <v>3</v>
      </c>
      <c r="G14" s="408">
        <v>0</v>
      </c>
      <c r="H14" s="408">
        <v>0</v>
      </c>
      <c r="I14" s="401"/>
      <c r="K14" s="653"/>
      <c r="L14" s="654"/>
      <c r="M14" s="654"/>
      <c r="N14" s="654"/>
      <c r="O14" s="654"/>
      <c r="P14" s="654"/>
      <c r="Q14" s="654"/>
      <c r="R14" s="654"/>
      <c r="S14" s="654"/>
      <c r="T14" s="654"/>
      <c r="U14" s="654"/>
      <c r="V14" s="654"/>
      <c r="W14" s="655"/>
    </row>
    <row r="15" spans="1:23" ht="45.75" customHeight="1" thickBot="1" thickTop="1">
      <c r="A15" s="402" t="s">
        <v>338</v>
      </c>
      <c r="B15" s="569" t="str">
        <f>'Input vs distribution technique'!$I$55</f>
        <v>Excellent*</v>
      </c>
      <c r="C15" s="385" t="str">
        <f>'Input vs distribution technique'!$I$102</f>
        <v>Excellent</v>
      </c>
      <c r="D15" s="571" t="str">
        <f>'Input vs distribution technique'!$I$103</f>
        <v>N/A</v>
      </c>
      <c r="E15" s="385" t="str">
        <f>'Input vs distribution technique'!$I$66</f>
        <v>Excellent</v>
      </c>
      <c r="F15" s="385" t="str">
        <f>'Input vs distribution technique'!$I$69</f>
        <v>Excellent</v>
      </c>
      <c r="G15" s="409" t="str">
        <f>'Input vs distribution technique'!$I$67</f>
        <v>Moderate</v>
      </c>
      <c r="H15" s="477" t="str">
        <f>'Input vs distribution technique'!$I$68</f>
        <v>Moderate</v>
      </c>
      <c r="I15" s="573" t="str">
        <f aca="true" t="shared" si="2" ref="I15:I23">VLOOKUP(ROUND(LN(J78),0),ReverseOrder,2)</f>
        <v>Excellent</v>
      </c>
      <c r="J15" s="331"/>
      <c r="K15" s="660" t="str">
        <f aca="true" t="shared" si="3" ref="K15:W15">VLOOKUP(ROUND(K78,0),ReverseOrder,2)&amp;" (#"&amp;K88&amp;")"</f>
        <v>Excellent (#1)</v>
      </c>
      <c r="L15" s="332" t="str">
        <f t="shared" si="3"/>
        <v>Excellent (#)</v>
      </c>
      <c r="M15" s="332" t="str">
        <f t="shared" si="3"/>
        <v>Excellent (#)</v>
      </c>
      <c r="N15" s="661" t="str">
        <f t="shared" si="3"/>
        <v>Excellent (#19)</v>
      </c>
      <c r="O15" s="661" t="str">
        <f t="shared" si="3"/>
        <v>Excellent (#42)</v>
      </c>
      <c r="P15" s="661" t="str">
        <f t="shared" si="3"/>
        <v>Excellent (#42)</v>
      </c>
      <c r="Q15" s="661" t="str">
        <f t="shared" si="3"/>
        <v>Excellent (#42)</v>
      </c>
      <c r="R15" s="576" t="str">
        <f t="shared" si="3"/>
        <v>Good (#67)</v>
      </c>
      <c r="S15" s="661" t="str">
        <f t="shared" si="3"/>
        <v>Excellent (#52)</v>
      </c>
      <c r="T15" s="661" t="str">
        <f t="shared" si="3"/>
        <v>Excellent (#19)</v>
      </c>
      <c r="U15" s="661" t="str">
        <f t="shared" si="3"/>
        <v>Excellent (#1)</v>
      </c>
      <c r="V15" s="661" t="str">
        <f t="shared" si="3"/>
        <v>Excellent (#19)</v>
      </c>
      <c r="W15" s="662" t="str">
        <f t="shared" si="3"/>
        <v>Excellent (#1)</v>
      </c>
    </row>
    <row r="16" spans="1:23" ht="45.75" customHeight="1" thickBot="1">
      <c r="A16" s="403" t="s">
        <v>305</v>
      </c>
      <c r="B16" s="386" t="str">
        <f>'Input vs distribution technique'!$D$55</f>
        <v>Excellent</v>
      </c>
      <c r="C16" s="388" t="str">
        <f>'Input vs distribution technique'!$D$102</f>
        <v>Excellent</v>
      </c>
      <c r="D16" s="572" t="str">
        <f>'Input vs distribution technique'!$D$103</f>
        <v>N/A</v>
      </c>
      <c r="E16" s="388" t="str">
        <f>'Input vs distribution technique'!$D$66</f>
        <v>Excellent</v>
      </c>
      <c r="F16" s="387" t="str">
        <f>'Input vs distribution technique'!$D$69</f>
        <v>Good</v>
      </c>
      <c r="G16" s="387" t="str">
        <f>'Input vs distribution technique'!$D$67</f>
        <v>Light</v>
      </c>
      <c r="H16" s="411" t="str">
        <f>'Input vs distribution technique'!$D$68</f>
        <v>Light</v>
      </c>
      <c r="I16" s="573" t="str">
        <f t="shared" si="2"/>
        <v>Excellent</v>
      </c>
      <c r="J16" s="331"/>
      <c r="K16" s="559" t="str">
        <f aca="true" t="shared" si="4" ref="K16:W16">VLOOKUP(ROUND(K79,0),ReverseOrder,2)&amp;" (#"&amp;K89&amp;")"</f>
        <v>Excellent (#13)</v>
      </c>
      <c r="L16" s="327" t="str">
        <f t="shared" si="4"/>
        <v>Excellent (#32)</v>
      </c>
      <c r="M16" s="327" t="str">
        <f t="shared" si="4"/>
        <v>Excellent (#32)</v>
      </c>
      <c r="N16" s="327" t="str">
        <f t="shared" si="4"/>
        <v>Excellent (#32)</v>
      </c>
      <c r="O16" s="327" t="str">
        <f t="shared" si="4"/>
        <v>Excellent (#56)</v>
      </c>
      <c r="P16" s="327" t="str">
        <f t="shared" si="4"/>
        <v>Excellent (#56)</v>
      </c>
      <c r="Q16" s="327" t="str">
        <f t="shared" si="4"/>
        <v>Excellent (#56)</v>
      </c>
      <c r="R16" s="336" t="str">
        <f t="shared" si="4"/>
        <v>Good (#73)</v>
      </c>
      <c r="S16" s="336" t="str">
        <f t="shared" si="4"/>
        <v>Good (#65)</v>
      </c>
      <c r="T16" s="327" t="str">
        <f t="shared" si="4"/>
        <v>Excellent (#32)</v>
      </c>
      <c r="U16" s="327" t="str">
        <f t="shared" si="4"/>
        <v>Excellent (#13)</v>
      </c>
      <c r="V16" s="327" t="str">
        <f t="shared" si="4"/>
        <v>Excellent (#32)</v>
      </c>
      <c r="W16" s="554" t="str">
        <f t="shared" si="4"/>
        <v>Excellent (#13)</v>
      </c>
    </row>
    <row r="17" spans="1:23" ht="45.75" customHeight="1" thickBot="1">
      <c r="A17" s="403" t="s">
        <v>246</v>
      </c>
      <c r="B17" s="386" t="str">
        <f>'Input vs distribution technique'!$H$55</f>
        <v>Excellent</v>
      </c>
      <c r="C17" s="388" t="str">
        <f>'Input vs distribution technique'!$H$102</f>
        <v>Excellent</v>
      </c>
      <c r="D17" s="572" t="str">
        <f>'Input vs distribution technique'!$H$103</f>
        <v>N/A</v>
      </c>
      <c r="E17" s="388" t="str">
        <f>'Input vs distribution technique'!$H$66</f>
        <v>Excellent</v>
      </c>
      <c r="F17" s="388" t="str">
        <f>'Input vs distribution technique'!$H$69</f>
        <v>Excellent</v>
      </c>
      <c r="G17" s="388" t="str">
        <f>'Input vs distribution technique'!$H$67</f>
        <v>Very Light</v>
      </c>
      <c r="H17" s="411" t="str">
        <f>'Input vs distribution technique'!$H$68</f>
        <v>Light</v>
      </c>
      <c r="I17" s="573" t="str">
        <f t="shared" si="2"/>
        <v>Excellent</v>
      </c>
      <c r="J17" s="331"/>
      <c r="K17" s="559" t="str">
        <f aca="true" t="shared" si="5" ref="K17:W17">VLOOKUP(ROUND(K80,0),ReverseOrder,2)&amp;" (#"&amp;K90&amp;")"</f>
        <v>Excellent (#1)</v>
      </c>
      <c r="L17" s="324" t="str">
        <f t="shared" si="5"/>
        <v>Excellent (#19)</v>
      </c>
      <c r="M17" s="324" t="str">
        <f t="shared" si="5"/>
        <v>Excellent (#19)</v>
      </c>
      <c r="N17" s="324" t="str">
        <f t="shared" si="5"/>
        <v>Excellent (#19)</v>
      </c>
      <c r="O17" s="324" t="str">
        <f t="shared" si="5"/>
        <v>Excellent (#42)</v>
      </c>
      <c r="P17" s="324" t="str">
        <f t="shared" si="5"/>
        <v>Excellent (#42)</v>
      </c>
      <c r="Q17" s="324" t="str">
        <f t="shared" si="5"/>
        <v>Excellent (#42)</v>
      </c>
      <c r="R17" s="417" t="str">
        <f t="shared" si="5"/>
        <v>Good (#67)</v>
      </c>
      <c r="S17" s="324" t="str">
        <f t="shared" si="5"/>
        <v>Excellent (#52)</v>
      </c>
      <c r="T17" s="324" t="str">
        <f t="shared" si="5"/>
        <v>Excellent (#19)</v>
      </c>
      <c r="U17" s="324" t="str">
        <f t="shared" si="5"/>
        <v>Excellent (#1)</v>
      </c>
      <c r="V17" s="324" t="str">
        <f t="shared" si="5"/>
        <v>Excellent (#19)</v>
      </c>
      <c r="W17" s="663" t="str">
        <f t="shared" si="5"/>
        <v>Excellent (#1)</v>
      </c>
    </row>
    <row r="18" spans="1:23" ht="45.75" customHeight="1" thickBot="1">
      <c r="A18" s="402" t="s">
        <v>339</v>
      </c>
      <c r="B18" s="386" t="str">
        <f>'Input vs distribution technique'!$G$55</f>
        <v>Excellent</v>
      </c>
      <c r="C18" s="388" t="str">
        <f>'Input vs distribution technique'!$G$102</f>
        <v>Excellent</v>
      </c>
      <c r="D18" s="572" t="str">
        <f>'Input vs distribution technique'!$G$103</f>
        <v>N/A</v>
      </c>
      <c r="E18" s="388" t="str">
        <f>'Input vs distribution technique'!$G$66</f>
        <v>Excellent</v>
      </c>
      <c r="F18" s="388" t="str">
        <f>'Input vs distribution technique'!$G$69</f>
        <v>Excellent</v>
      </c>
      <c r="G18" s="391" t="str">
        <f>'Input vs distribution technique'!$G$67</f>
        <v>Moderate</v>
      </c>
      <c r="H18" s="411" t="str">
        <f>'Input vs distribution technique'!$G$68</f>
        <v>Light</v>
      </c>
      <c r="I18" s="573" t="str">
        <f t="shared" si="2"/>
        <v>Excellent</v>
      </c>
      <c r="J18" s="331"/>
      <c r="K18" s="559" t="str">
        <f aca="true" t="shared" si="6" ref="K18:W18">VLOOKUP(ROUND(K81,0),ReverseOrder,2)&amp;" (#"&amp;K91&amp;")"</f>
        <v>Excellent (#1)</v>
      </c>
      <c r="L18" s="333" t="str">
        <f t="shared" si="6"/>
        <v>Excellent (#)</v>
      </c>
      <c r="M18" s="333" t="str">
        <f t="shared" si="6"/>
        <v>Excellent (#)</v>
      </c>
      <c r="N18" s="333" t="str">
        <f t="shared" si="6"/>
        <v>Excellent (#)</v>
      </c>
      <c r="O18" s="333" t="str">
        <f t="shared" si="6"/>
        <v>Excellent (#)</v>
      </c>
      <c r="P18" s="333" t="str">
        <f t="shared" si="6"/>
        <v>Excellent (#)</v>
      </c>
      <c r="Q18" s="324" t="str">
        <f t="shared" si="6"/>
        <v>Excellent (#42)</v>
      </c>
      <c r="R18" s="336" t="str">
        <f t="shared" si="6"/>
        <v>Good (#67)</v>
      </c>
      <c r="S18" s="327" t="str">
        <f t="shared" si="6"/>
        <v>Excellent (#52)</v>
      </c>
      <c r="T18" s="327" t="str">
        <f t="shared" si="6"/>
        <v>Excellent (#19)</v>
      </c>
      <c r="U18" s="327" t="str">
        <f t="shared" si="6"/>
        <v>Excellent (#1)</v>
      </c>
      <c r="V18" s="327" t="str">
        <f t="shared" si="6"/>
        <v>Excellent (#19)</v>
      </c>
      <c r="W18" s="554" t="str">
        <f t="shared" si="6"/>
        <v>Excellent (#1)</v>
      </c>
    </row>
    <row r="19" spans="1:23" ht="45.75" customHeight="1" thickBot="1">
      <c r="A19" s="402" t="s">
        <v>269</v>
      </c>
      <c r="B19" s="386" t="str">
        <f>'Input vs distribution technique'!$J$55</f>
        <v>Excellent*</v>
      </c>
      <c r="C19" s="388" t="str">
        <f>'Input vs distribution technique'!$J$102</f>
        <v>Excellent</v>
      </c>
      <c r="D19" s="572" t="str">
        <f>'Input vs distribution technique'!$J$103</f>
        <v>N/A</v>
      </c>
      <c r="E19" s="388" t="str">
        <f>'Input vs distribution technique'!$J$66</f>
        <v>Excellent</v>
      </c>
      <c r="F19" s="388" t="str">
        <f>'Input vs distribution technique'!$J$69</f>
        <v>Excellent</v>
      </c>
      <c r="G19" s="389" t="str">
        <f>'Input vs distribution technique'!$J$67</f>
        <v>Intense</v>
      </c>
      <c r="H19" s="410" t="str">
        <f>'Input vs distribution technique'!$J$68</f>
        <v>Intense</v>
      </c>
      <c r="I19" s="573" t="str">
        <f t="shared" si="2"/>
        <v>Excellent</v>
      </c>
      <c r="J19" s="331"/>
      <c r="K19" s="559" t="str">
        <f aca="true" t="shared" si="7" ref="K19:W19">VLOOKUP(ROUND(K82,0),ReverseOrder,2)&amp;" (#"&amp;K92&amp;")"</f>
        <v>Excellent (#1)</v>
      </c>
      <c r="L19" s="333" t="str">
        <f t="shared" si="7"/>
        <v>Excellent (#)</v>
      </c>
      <c r="M19" s="333" t="str">
        <f t="shared" si="7"/>
        <v>Excellent (#)</v>
      </c>
      <c r="N19" s="327" t="str">
        <f t="shared" si="7"/>
        <v>Excellent (#19)</v>
      </c>
      <c r="O19" s="327" t="str">
        <f t="shared" si="7"/>
        <v>Excellent (#42)</v>
      </c>
      <c r="P19" s="327" t="str">
        <f t="shared" si="7"/>
        <v>Excellent (#42)</v>
      </c>
      <c r="Q19" s="324" t="str">
        <f t="shared" si="7"/>
        <v>Excellent (#42)</v>
      </c>
      <c r="R19" s="336" t="str">
        <f t="shared" si="7"/>
        <v>Good (#67)</v>
      </c>
      <c r="S19" s="327" t="str">
        <f t="shared" si="7"/>
        <v>Excellent (#52)</v>
      </c>
      <c r="T19" s="327" t="str">
        <f t="shared" si="7"/>
        <v>Excellent (#19)</v>
      </c>
      <c r="U19" s="327" t="str">
        <f t="shared" si="7"/>
        <v>Excellent (#1)</v>
      </c>
      <c r="V19" s="327" t="str">
        <f t="shared" si="7"/>
        <v>Excellent (#19)</v>
      </c>
      <c r="W19" s="554" t="str">
        <f t="shared" si="7"/>
        <v>Excellent (#1)</v>
      </c>
    </row>
    <row r="20" spans="1:23" ht="45.75" customHeight="1" thickBot="1">
      <c r="A20" s="402" t="s">
        <v>361</v>
      </c>
      <c r="B20" s="386" t="str">
        <f>'Input vs distribution technique'!$K$55</f>
        <v>Excellent</v>
      </c>
      <c r="C20" s="389" t="str">
        <f>'Input vs distribution technique'!$K$102</f>
        <v>Poor</v>
      </c>
      <c r="D20" s="572" t="str">
        <f>'Input vs distribution technique'!$K$103</f>
        <v>N/A</v>
      </c>
      <c r="E20" s="388" t="str">
        <f>'Input vs distribution technique'!$K$66</f>
        <v>Excellent</v>
      </c>
      <c r="F20" s="388" t="str">
        <f>'Input vs distribution technique'!$K$69</f>
        <v>Excellent</v>
      </c>
      <c r="G20" s="387" t="str">
        <f>'Input vs distribution technique'!$K$67</f>
        <v>Light</v>
      </c>
      <c r="H20" s="390" t="str">
        <f>'Input vs distribution technique'!$K$68</f>
        <v>Moderate</v>
      </c>
      <c r="I20" s="431" t="str">
        <f t="shared" si="2"/>
        <v>Fair</v>
      </c>
      <c r="J20" s="331"/>
      <c r="K20" s="553" t="str">
        <f aca="true" t="shared" si="8" ref="K20:W20">VLOOKUP(ROUND(K83,0),ReverseOrder,2)&amp;" (#"&amp;K93&amp;")"</f>
        <v>Good (#78)</v>
      </c>
      <c r="L20" s="333" t="str">
        <f t="shared" si="8"/>
        <v>Good (#)</v>
      </c>
      <c r="M20" s="333" t="str">
        <f t="shared" si="8"/>
        <v>Good (#)</v>
      </c>
      <c r="N20" s="333" t="str">
        <f t="shared" si="8"/>
        <v>Good (#)</v>
      </c>
      <c r="O20" s="333" t="str">
        <f t="shared" si="8"/>
        <v>Good (#)</v>
      </c>
      <c r="P20" s="333" t="str">
        <f t="shared" si="8"/>
        <v>Good (#)</v>
      </c>
      <c r="Q20" s="417" t="str">
        <f t="shared" si="8"/>
        <v>Good (#88)</v>
      </c>
      <c r="R20" s="336" t="str">
        <f t="shared" si="8"/>
        <v>Good (#92)</v>
      </c>
      <c r="S20" s="336" t="str">
        <f t="shared" si="8"/>
        <v>Good (#90)</v>
      </c>
      <c r="T20" s="336" t="str">
        <f t="shared" si="8"/>
        <v>Good (#84)</v>
      </c>
      <c r="U20" s="336" t="str">
        <f t="shared" si="8"/>
        <v>Good (#78)</v>
      </c>
      <c r="V20" s="336" t="str">
        <f t="shared" si="8"/>
        <v>Good (#86)</v>
      </c>
      <c r="W20" s="430" t="str">
        <f t="shared" si="8"/>
        <v>Good (#78)</v>
      </c>
    </row>
    <row r="21" spans="1:23" ht="45.75" customHeight="1" thickBot="1">
      <c r="A21" s="402" t="s">
        <v>362</v>
      </c>
      <c r="B21" s="386" t="str">
        <f>'Input vs distribution technique'!$L$55</f>
        <v>Excellent</v>
      </c>
      <c r="C21" s="389" t="str">
        <f>'Input vs distribution technique'!$L$102</f>
        <v>Poor</v>
      </c>
      <c r="D21" s="572" t="str">
        <f>'Input vs distribution technique'!$L$103</f>
        <v>N/A</v>
      </c>
      <c r="E21" s="388" t="str">
        <f>'Input vs distribution technique'!$L$66</f>
        <v>Excellent</v>
      </c>
      <c r="F21" s="388" t="str">
        <f>'Input vs distribution technique'!$L$69</f>
        <v>Excellent</v>
      </c>
      <c r="G21" s="387" t="str">
        <f>'Input vs distribution technique'!$L$67</f>
        <v>Light</v>
      </c>
      <c r="H21" s="390" t="str">
        <f>'Input vs distribution technique'!$L$68</f>
        <v>Moderate</v>
      </c>
      <c r="I21" s="431" t="str">
        <f t="shared" si="2"/>
        <v>Fair</v>
      </c>
      <c r="J21" s="331"/>
      <c r="K21" s="553" t="str">
        <f aca="true" t="shared" si="9" ref="K21:W21">VLOOKUP(ROUND(K84,0),ReverseOrder,2)&amp;" (#"&amp;K94&amp;")"</f>
        <v>Good (#78)</v>
      </c>
      <c r="L21" s="333" t="str">
        <f t="shared" si="9"/>
        <v>Good (#)</v>
      </c>
      <c r="M21" s="333" t="str">
        <f t="shared" si="9"/>
        <v>Good (#)</v>
      </c>
      <c r="N21" s="333" t="str">
        <f t="shared" si="9"/>
        <v>Good (#)</v>
      </c>
      <c r="O21" s="333" t="str">
        <f t="shared" si="9"/>
        <v>Good (#)</v>
      </c>
      <c r="P21" s="333" t="str">
        <f t="shared" si="9"/>
        <v>Good (#)</v>
      </c>
      <c r="Q21" s="417" t="str">
        <f t="shared" si="9"/>
        <v>Good (#88)</v>
      </c>
      <c r="R21" s="336" t="str">
        <f t="shared" si="9"/>
        <v>Good (#92)</v>
      </c>
      <c r="S21" s="336" t="str">
        <f t="shared" si="9"/>
        <v>Good (#90)</v>
      </c>
      <c r="T21" s="336" t="str">
        <f t="shared" si="9"/>
        <v>Good (#84)</v>
      </c>
      <c r="U21" s="336" t="str">
        <f t="shared" si="9"/>
        <v>Good (#78)</v>
      </c>
      <c r="V21" s="336" t="str">
        <f t="shared" si="9"/>
        <v>Good (#86)</v>
      </c>
      <c r="W21" s="430" t="str">
        <f t="shared" si="9"/>
        <v>Good (#78)</v>
      </c>
    </row>
    <row r="22" spans="1:23" ht="45.75" customHeight="1" thickBot="1">
      <c r="A22" s="402" t="s">
        <v>342</v>
      </c>
      <c r="B22" s="386" t="str">
        <f>'Input vs distribution technique'!$M$55</f>
        <v>Excellent</v>
      </c>
      <c r="C22" s="388" t="str">
        <f>'Input vs distribution technique'!$M$102</f>
        <v>Excellent</v>
      </c>
      <c r="D22" s="572" t="str">
        <f>'Input vs distribution technique'!$M$103</f>
        <v>N/A</v>
      </c>
      <c r="E22" s="388" t="str">
        <f>'Input vs distribution technique'!$M$66</f>
        <v>Excellent</v>
      </c>
      <c r="F22" s="387" t="str">
        <f>'Input vs distribution technique'!$M$69</f>
        <v>Good</v>
      </c>
      <c r="G22" s="387" t="str">
        <f>'Input vs distribution technique'!$M$67</f>
        <v>Light</v>
      </c>
      <c r="H22" s="411" t="str">
        <f>'Input vs distribution technique'!$M$68</f>
        <v>Light</v>
      </c>
      <c r="I22" s="573" t="str">
        <f t="shared" si="2"/>
        <v>Excellent</v>
      </c>
      <c r="J22" s="331"/>
      <c r="K22" s="559" t="str">
        <f aca="true" t="shared" si="10" ref="K22:W22">VLOOKUP(ROUND(K85,0),ReverseOrder,2)&amp;" (#"&amp;K95&amp;")"</f>
        <v>Excellent (#13)</v>
      </c>
      <c r="L22" s="327" t="str">
        <f t="shared" si="10"/>
        <v>Excellent (#32)</v>
      </c>
      <c r="M22" s="327" t="str">
        <f t="shared" si="10"/>
        <v>Excellent (#32)</v>
      </c>
      <c r="N22" s="327" t="str">
        <f t="shared" si="10"/>
        <v>Excellent (#32)</v>
      </c>
      <c r="O22" s="327" t="str">
        <f t="shared" si="10"/>
        <v>Excellent (#56)</v>
      </c>
      <c r="P22" s="327" t="str">
        <f t="shared" si="10"/>
        <v>Excellent (#56)</v>
      </c>
      <c r="Q22" s="324" t="str">
        <f t="shared" si="10"/>
        <v>Excellent (#56)</v>
      </c>
      <c r="R22" s="336" t="str">
        <f t="shared" si="10"/>
        <v>Good (#73)</v>
      </c>
      <c r="S22" s="336" t="str">
        <f t="shared" si="10"/>
        <v>Good (#65)</v>
      </c>
      <c r="T22" s="327" t="str">
        <f t="shared" si="10"/>
        <v>Excellent (#32)</v>
      </c>
      <c r="U22" s="327" t="str">
        <f t="shared" si="10"/>
        <v>Excellent (#13)</v>
      </c>
      <c r="V22" s="327" t="str">
        <f t="shared" si="10"/>
        <v>Excellent (#32)</v>
      </c>
      <c r="W22" s="554" t="str">
        <f t="shared" si="10"/>
        <v>Excellent (#13)</v>
      </c>
    </row>
    <row r="23" spans="1:23" ht="45.75" customHeight="1" thickBot="1">
      <c r="A23" s="404" t="s">
        <v>343</v>
      </c>
      <c r="B23" s="574" t="str">
        <f>'Input vs distribution technique'!$N$55</f>
        <v>Excellent</v>
      </c>
      <c r="C23" s="392" t="str">
        <f>'Input vs distribution technique'!$N$102</f>
        <v>Excellent</v>
      </c>
      <c r="D23" s="575" t="str">
        <f>'Input vs distribution technique'!$N$103</f>
        <v>N/A</v>
      </c>
      <c r="E23" s="658" t="str">
        <f>'Input vs distribution technique'!$N$66</f>
        <v>Fair</v>
      </c>
      <c r="F23" s="392" t="str">
        <f>'Input vs distribution technique'!$N$69</f>
        <v>Excellent</v>
      </c>
      <c r="G23" s="393" t="str">
        <f>'Input vs distribution technique'!$N$67</f>
        <v>Intense</v>
      </c>
      <c r="H23" s="478" t="str">
        <f>'Input vs distribution technique'!$N$68</f>
        <v>Moderate</v>
      </c>
      <c r="I23" s="659" t="str">
        <f t="shared" si="2"/>
        <v>Good</v>
      </c>
      <c r="J23" s="331"/>
      <c r="K23" s="664" t="str">
        <f aca="true" t="shared" si="11" ref="K23:W23">VLOOKUP(ROUND(K86,0),ReverseOrder,2)&amp;" (#"&amp;K96&amp;")"</f>
        <v>Good (#62)</v>
      </c>
      <c r="L23" s="334" t="str">
        <f t="shared" si="11"/>
        <v>Good (#)</v>
      </c>
      <c r="M23" s="334" t="str">
        <f t="shared" si="11"/>
        <v>Good (#)</v>
      </c>
      <c r="N23" s="334" t="str">
        <f t="shared" si="11"/>
        <v>Good (#)</v>
      </c>
      <c r="O23" s="334" t="str">
        <f t="shared" si="11"/>
        <v>Good (#)</v>
      </c>
      <c r="P23" s="334" t="str">
        <f t="shared" si="11"/>
        <v>Good (#)</v>
      </c>
      <c r="Q23" s="665" t="str">
        <f t="shared" si="11"/>
        <v>Good (#75)</v>
      </c>
      <c r="R23" s="665" t="str">
        <f t="shared" si="11"/>
        <v>Good (#77)</v>
      </c>
      <c r="S23" s="665" t="str">
        <f t="shared" si="11"/>
        <v>Good (#76)</v>
      </c>
      <c r="T23" s="665" t="str">
        <f t="shared" si="11"/>
        <v>Good (#71)</v>
      </c>
      <c r="U23" s="665" t="str">
        <f t="shared" si="11"/>
        <v>Good (#62)</v>
      </c>
      <c r="V23" s="665" t="str">
        <f t="shared" si="11"/>
        <v>Good (#72)</v>
      </c>
      <c r="W23" s="666" t="str">
        <f t="shared" si="11"/>
        <v>Good (#62)</v>
      </c>
    </row>
    <row r="24" spans="1:9" ht="12.75">
      <c r="A24" s="405"/>
      <c r="B24" s="406" t="s">
        <v>287</v>
      </c>
      <c r="C24" s="405"/>
      <c r="D24" s="405"/>
      <c r="E24" s="405"/>
      <c r="F24" s="405"/>
      <c r="G24" s="405"/>
      <c r="H24" s="405"/>
      <c r="I24" s="407"/>
    </row>
    <row r="25" spans="1:23" ht="15">
      <c r="A25" s="405"/>
      <c r="B25" s="406" t="s">
        <v>288</v>
      </c>
      <c r="C25" s="405"/>
      <c r="D25" s="405"/>
      <c r="E25" s="405"/>
      <c r="F25" s="405"/>
      <c r="G25" s="405"/>
      <c r="H25" s="405"/>
      <c r="I25" s="407"/>
      <c r="K25" s="656" t="s">
        <v>410</v>
      </c>
      <c r="L25" s="656"/>
      <c r="M25" s="656"/>
      <c r="N25" s="656"/>
      <c r="O25" s="656"/>
      <c r="P25" s="656"/>
      <c r="Q25" s="656"/>
      <c r="R25" s="656"/>
      <c r="S25" s="656"/>
      <c r="T25" s="656"/>
      <c r="U25" s="656"/>
      <c r="V25" s="656"/>
      <c r="W25" s="656"/>
    </row>
    <row r="26" spans="1:20" ht="39.75" customHeight="1">
      <c r="A26" s="405"/>
      <c r="B26" s="406" t="s">
        <v>291</v>
      </c>
      <c r="C26" s="405"/>
      <c r="D26" s="405"/>
      <c r="E26" s="405"/>
      <c r="F26" s="405"/>
      <c r="G26" s="405"/>
      <c r="H26" s="405"/>
      <c r="I26" s="407"/>
      <c r="K26" s="657" t="s">
        <v>408</v>
      </c>
      <c r="L26" s="657"/>
      <c r="M26" s="657"/>
      <c r="N26" s="657"/>
      <c r="O26" s="657"/>
      <c r="P26" s="657"/>
      <c r="Q26" s="657"/>
      <c r="R26" s="657"/>
      <c r="S26" s="657"/>
      <c r="T26" s="657"/>
    </row>
    <row r="27" spans="2:23" ht="20.25" customHeight="1">
      <c r="B27" s="266"/>
      <c r="K27" s="656" t="s">
        <v>412</v>
      </c>
      <c r="L27" s="656"/>
      <c r="M27" s="656"/>
      <c r="N27" s="656"/>
      <c r="O27" s="656"/>
      <c r="P27" s="656"/>
      <c r="Q27" s="656"/>
      <c r="R27" s="656"/>
      <c r="S27" s="656"/>
      <c r="T27" s="656"/>
      <c r="U27" s="656"/>
      <c r="V27" s="656"/>
      <c r="W27" s="656"/>
    </row>
    <row r="28" spans="2:10" ht="25.5">
      <c r="B28" s="416" t="s">
        <v>363</v>
      </c>
      <c r="C28" s="649" t="s">
        <v>360</v>
      </c>
      <c r="D28" s="649"/>
      <c r="E28" s="649"/>
      <c r="F28" s="649"/>
      <c r="G28" s="649"/>
      <c r="H28" s="649"/>
      <c r="I28" s="649"/>
      <c r="J28" s="649"/>
    </row>
    <row r="29" spans="2:9" ht="25.5" customHeight="1">
      <c r="B29" s="416" t="s">
        <v>364</v>
      </c>
      <c r="C29" s="365" t="s">
        <v>359</v>
      </c>
      <c r="D29" s="415"/>
      <c r="E29" s="415"/>
      <c r="F29" s="415"/>
      <c r="G29" s="415"/>
      <c r="H29" s="415"/>
      <c r="I29" s="415"/>
    </row>
    <row r="30" spans="2:3" ht="12.75" customHeight="1">
      <c r="B30" s="269"/>
      <c r="C30" s="268"/>
    </row>
    <row r="31" spans="3:9" ht="12.75" customHeight="1" hidden="1">
      <c r="C31" s="365"/>
      <c r="I31" s="413"/>
    </row>
    <row r="32" ht="12.75" customHeight="1" hidden="1">
      <c r="I32" s="287" t="s">
        <v>137</v>
      </c>
    </row>
    <row r="33" spans="9:23" ht="25.5" hidden="1">
      <c r="I33" s="288" t="str">
        <f aca="true" t="shared" si="12" ref="I33:I41">H3</f>
        <v>Amenability of primary COCs to oxidation</v>
      </c>
      <c r="K33" s="34">
        <f aca="true" t="shared" si="13" ref="K33:W33">IF(IF(ISNA(MATCH(K3,NewRatings,0)),1,MATCH(K3,NewRatings,0)-1)=3,4,IF(ISNA(MATCH(K3,NewRatings,0)),1,MATCH(K3,NewRatings,0)-1))</f>
        <v>0</v>
      </c>
      <c r="L33" s="34">
        <f t="shared" si="13"/>
        <v>0</v>
      </c>
      <c r="M33" s="34">
        <f t="shared" si="13"/>
        <v>0</v>
      </c>
      <c r="N33" s="34">
        <f t="shared" si="13"/>
        <v>0</v>
      </c>
      <c r="O33" s="34">
        <f t="shared" si="13"/>
        <v>0</v>
      </c>
      <c r="P33" s="34">
        <f t="shared" si="13"/>
        <v>0</v>
      </c>
      <c r="Q33" s="34">
        <f t="shared" si="13"/>
        <v>0</v>
      </c>
      <c r="R33" s="34">
        <f t="shared" si="13"/>
        <v>0</v>
      </c>
      <c r="S33" s="34">
        <f t="shared" si="13"/>
        <v>0</v>
      </c>
      <c r="T33" s="34">
        <f t="shared" si="13"/>
        <v>0</v>
      </c>
      <c r="U33" s="34">
        <f t="shared" si="13"/>
        <v>0</v>
      </c>
      <c r="V33" s="34">
        <f t="shared" si="13"/>
        <v>0</v>
      </c>
      <c r="W33" s="34">
        <f t="shared" si="13"/>
        <v>0</v>
      </c>
    </row>
    <row r="34" spans="9:23" ht="25.5" customHeight="1" hidden="1">
      <c r="I34" s="288" t="str">
        <f t="shared" si="12"/>
        <v>Amenability of co-contaminants to oxidation</v>
      </c>
      <c r="K34" s="34">
        <f aca="true" t="shared" si="14" ref="K34:W34">IF(ISNA(MATCH(K4,NewRatings,0)),1,MATCH(K4,NewRatings,0)-1)</f>
        <v>1</v>
      </c>
      <c r="L34" s="34">
        <f t="shared" si="14"/>
        <v>1</v>
      </c>
      <c r="M34" s="34">
        <f t="shared" si="14"/>
        <v>1</v>
      </c>
      <c r="N34" s="34">
        <f t="shared" si="14"/>
        <v>1</v>
      </c>
      <c r="O34" s="34">
        <f t="shared" si="14"/>
        <v>1</v>
      </c>
      <c r="P34" s="34">
        <f t="shared" si="14"/>
        <v>1</v>
      </c>
      <c r="Q34" s="34">
        <f t="shared" si="14"/>
        <v>1</v>
      </c>
      <c r="R34" s="34">
        <f t="shared" si="14"/>
        <v>1</v>
      </c>
      <c r="S34" s="34">
        <f t="shared" si="14"/>
        <v>1</v>
      </c>
      <c r="T34" s="34">
        <f t="shared" si="14"/>
        <v>1</v>
      </c>
      <c r="U34" s="34">
        <f t="shared" si="14"/>
        <v>1</v>
      </c>
      <c r="V34" s="34">
        <f t="shared" si="14"/>
        <v>1</v>
      </c>
      <c r="W34" s="34">
        <f t="shared" si="14"/>
        <v>1</v>
      </c>
    </row>
    <row r="35" spans="9:23" ht="12.75" customHeight="1" hidden="1">
      <c r="I35" s="288" t="str">
        <f t="shared" si="12"/>
        <v>Overall Oxidant Amenability</v>
      </c>
      <c r="K35" s="34">
        <f aca="true" t="shared" si="15" ref="K35:W35">IF(ISNA(MATCH(K5,NewRatings,0)),1,MATCH(K5,NewRatings,0)-1)</f>
        <v>0</v>
      </c>
      <c r="L35" s="34">
        <f t="shared" si="15"/>
        <v>0</v>
      </c>
      <c r="M35" s="34">
        <f t="shared" si="15"/>
        <v>0</v>
      </c>
      <c r="N35" s="34">
        <f t="shared" si="15"/>
        <v>0</v>
      </c>
      <c r="O35" s="34">
        <f t="shared" si="15"/>
        <v>0</v>
      </c>
      <c r="P35" s="34">
        <f t="shared" si="15"/>
        <v>0</v>
      </c>
      <c r="Q35" s="34">
        <f t="shared" si="15"/>
        <v>0</v>
      </c>
      <c r="R35" s="34">
        <f t="shared" si="15"/>
        <v>0</v>
      </c>
      <c r="S35" s="34">
        <f t="shared" si="15"/>
        <v>0</v>
      </c>
      <c r="T35" s="34">
        <f t="shared" si="15"/>
        <v>0</v>
      </c>
      <c r="U35" s="34">
        <f t="shared" si="15"/>
        <v>0</v>
      </c>
      <c r="V35" s="34">
        <f t="shared" si="15"/>
        <v>0</v>
      </c>
      <c r="W35" s="34">
        <f t="shared" si="15"/>
        <v>0</v>
      </c>
    </row>
    <row r="36" spans="9:23" ht="25.5" customHeight="1" hidden="1">
      <c r="I36" s="288" t="str">
        <f t="shared" si="12"/>
        <v>Ability of approach to work with site foc</v>
      </c>
      <c r="K36" s="34">
        <f aca="true" t="shared" si="16" ref="K36:W36">IF(ISNA(MATCH(K6,NewRatings,0)),1,MATCH(K6,NewRatings,0)-1)</f>
        <v>1</v>
      </c>
      <c r="L36" s="34">
        <f t="shared" si="16"/>
        <v>1</v>
      </c>
      <c r="M36" s="34">
        <f t="shared" si="16"/>
        <v>1</v>
      </c>
      <c r="N36" s="34">
        <f t="shared" si="16"/>
        <v>1</v>
      </c>
      <c r="O36" s="34">
        <f t="shared" si="16"/>
        <v>1</v>
      </c>
      <c r="P36" s="34">
        <f t="shared" si="16"/>
        <v>1</v>
      </c>
      <c r="Q36" s="34">
        <f t="shared" si="16"/>
        <v>1</v>
      </c>
      <c r="R36" s="34">
        <f t="shared" si="16"/>
        <v>0</v>
      </c>
      <c r="S36" s="34">
        <f t="shared" si="16"/>
        <v>0</v>
      </c>
      <c r="T36" s="34">
        <f t="shared" si="16"/>
        <v>0</v>
      </c>
      <c r="U36" s="34">
        <f t="shared" si="16"/>
        <v>0</v>
      </c>
      <c r="V36" s="34">
        <f t="shared" si="16"/>
        <v>0</v>
      </c>
      <c r="W36" s="34">
        <f t="shared" si="16"/>
        <v>0</v>
      </c>
    </row>
    <row r="37" spans="9:23" ht="25.5" customHeight="1" hidden="1">
      <c r="I37" s="288" t="str">
        <f t="shared" si="12"/>
        <v>Ability of approach to work with site pH</v>
      </c>
      <c r="K37" s="34">
        <f aca="true" t="shared" si="17" ref="K37:W37">IF(ISNA(MATCH(K7,NewRatings,0)),1,MATCH(K7,NewRatings,0)-1)</f>
        <v>0</v>
      </c>
      <c r="L37" s="34">
        <f t="shared" si="17"/>
        <v>0</v>
      </c>
      <c r="M37" s="34">
        <f t="shared" si="17"/>
        <v>0</v>
      </c>
      <c r="N37" s="34">
        <f t="shared" si="17"/>
        <v>0</v>
      </c>
      <c r="O37" s="34">
        <f t="shared" si="17"/>
        <v>1</v>
      </c>
      <c r="P37" s="34">
        <f t="shared" si="17"/>
        <v>1</v>
      </c>
      <c r="Q37" s="34">
        <f t="shared" si="17"/>
        <v>1</v>
      </c>
      <c r="R37" s="34">
        <f t="shared" si="17"/>
        <v>2</v>
      </c>
      <c r="S37" s="34">
        <f t="shared" si="17"/>
        <v>0</v>
      </c>
      <c r="T37" s="34">
        <f t="shared" si="17"/>
        <v>1</v>
      </c>
      <c r="U37" s="34">
        <f t="shared" si="17"/>
        <v>0</v>
      </c>
      <c r="V37" s="34">
        <f t="shared" si="17"/>
        <v>0</v>
      </c>
      <c r="W37" s="34">
        <f t="shared" si="17"/>
        <v>0</v>
      </c>
    </row>
    <row r="38" spans="9:23" ht="25.5" hidden="1">
      <c r="I38" s="288" t="str">
        <f t="shared" si="12"/>
        <v>Ability of approach to work with site alkalinity</v>
      </c>
      <c r="K38" s="34">
        <f aca="true" t="shared" si="18" ref="K38:W38">IF(ISNA(MATCH(K8,NewRatings,0)),1,MATCH(K8,NewRatings,0)-1)</f>
        <v>0</v>
      </c>
      <c r="L38" s="34">
        <f t="shared" si="18"/>
        <v>0</v>
      </c>
      <c r="M38" s="34">
        <f t="shared" si="18"/>
        <v>0</v>
      </c>
      <c r="N38" s="34">
        <f t="shared" si="18"/>
        <v>0</v>
      </c>
      <c r="O38" s="34">
        <f t="shared" si="18"/>
        <v>0</v>
      </c>
      <c r="P38" s="34">
        <f t="shared" si="18"/>
        <v>0</v>
      </c>
      <c r="Q38" s="34">
        <f t="shared" si="18"/>
        <v>0</v>
      </c>
      <c r="R38" s="34">
        <f t="shared" si="18"/>
        <v>0</v>
      </c>
      <c r="S38" s="34">
        <f t="shared" si="18"/>
        <v>0</v>
      </c>
      <c r="T38" s="34">
        <f t="shared" si="18"/>
        <v>0</v>
      </c>
      <c r="U38" s="34">
        <f t="shared" si="18"/>
        <v>0</v>
      </c>
      <c r="V38" s="34">
        <f t="shared" si="18"/>
        <v>0</v>
      </c>
      <c r="W38" s="34">
        <f t="shared" si="18"/>
        <v>0</v>
      </c>
    </row>
    <row r="39" spans="9:23" ht="25.5" customHeight="1" hidden="1">
      <c r="I39" s="288" t="str">
        <f t="shared" si="12"/>
        <v>Ability of approach to work with site chloride</v>
      </c>
      <c r="K39" s="34">
        <f aca="true" t="shared" si="19" ref="K39:W39">IF(ISNA(MATCH(K9,NewRatings,0)),1,MATCH(K9,NewRatings,0)-1)</f>
        <v>0</v>
      </c>
      <c r="L39" s="34">
        <f t="shared" si="19"/>
        <v>1</v>
      </c>
      <c r="M39" s="34">
        <f t="shared" si="19"/>
        <v>1</v>
      </c>
      <c r="N39" s="34">
        <f t="shared" si="19"/>
        <v>1</v>
      </c>
      <c r="O39" s="34">
        <f t="shared" si="19"/>
        <v>1</v>
      </c>
      <c r="P39" s="34">
        <f t="shared" si="19"/>
        <v>1</v>
      </c>
      <c r="Q39" s="34">
        <f t="shared" si="19"/>
        <v>1</v>
      </c>
      <c r="R39" s="34">
        <f t="shared" si="19"/>
        <v>1</v>
      </c>
      <c r="S39" s="34">
        <f t="shared" si="19"/>
        <v>2</v>
      </c>
      <c r="T39" s="34">
        <f t="shared" si="19"/>
        <v>1</v>
      </c>
      <c r="U39" s="34">
        <f t="shared" si="19"/>
        <v>1</v>
      </c>
      <c r="V39" s="34">
        <f t="shared" si="19"/>
        <v>1</v>
      </c>
      <c r="W39" s="34">
        <f t="shared" si="19"/>
        <v>1</v>
      </c>
    </row>
    <row r="40" spans="9:23" ht="25.5" hidden="1">
      <c r="I40" s="288" t="str">
        <f t="shared" si="12"/>
        <v>Ability of approach to work with site mass distribution</v>
      </c>
      <c r="K40" s="34">
        <f aca="true" t="shared" si="20" ref="K40:W40">IF(ISNA(MATCH(K10,NewRatings,0)),1,MATCH(K10,NewRatings,0)-1)</f>
        <v>0</v>
      </c>
      <c r="L40" s="34">
        <f t="shared" si="20"/>
        <v>0</v>
      </c>
      <c r="M40" s="34">
        <f t="shared" si="20"/>
        <v>0</v>
      </c>
      <c r="N40" s="34">
        <f t="shared" si="20"/>
        <v>0</v>
      </c>
      <c r="O40" s="34">
        <f t="shared" si="20"/>
        <v>0</v>
      </c>
      <c r="P40" s="34">
        <f t="shared" si="20"/>
        <v>0</v>
      </c>
      <c r="Q40" s="34">
        <f t="shared" si="20"/>
        <v>0</v>
      </c>
      <c r="R40" s="34">
        <f t="shared" si="20"/>
        <v>0</v>
      </c>
      <c r="S40" s="34">
        <f t="shared" si="20"/>
        <v>0</v>
      </c>
      <c r="T40" s="34">
        <f t="shared" si="20"/>
        <v>0</v>
      </c>
      <c r="U40" s="34">
        <f t="shared" si="20"/>
        <v>0</v>
      </c>
      <c r="V40" s="34">
        <f t="shared" si="20"/>
        <v>1</v>
      </c>
      <c r="W40" s="34">
        <f t="shared" si="20"/>
        <v>0</v>
      </c>
    </row>
    <row r="41" spans="9:23" ht="12.75" hidden="1">
      <c r="I41" s="395" t="str">
        <f t="shared" si="12"/>
        <v>Overall Oxidant Effectiveness</v>
      </c>
      <c r="J41" s="545" t="s">
        <v>409</v>
      </c>
      <c r="K41" s="34">
        <f aca="true" t="shared" si="21" ref="K41:W41">IF(ISNA(MATCH(K3,NewRatings,0)),1,MATCH(K3,NewRatings,0)-1)</f>
        <v>0</v>
      </c>
      <c r="L41" s="34">
        <f t="shared" si="21"/>
        <v>0</v>
      </c>
      <c r="M41" s="34">
        <f t="shared" si="21"/>
        <v>0</v>
      </c>
      <c r="N41" s="34">
        <f t="shared" si="21"/>
        <v>0</v>
      </c>
      <c r="O41" s="34">
        <f t="shared" si="21"/>
        <v>0</v>
      </c>
      <c r="P41" s="34">
        <f t="shared" si="21"/>
        <v>0</v>
      </c>
      <c r="Q41" s="34">
        <f t="shared" si="21"/>
        <v>0</v>
      </c>
      <c r="R41" s="34">
        <f t="shared" si="21"/>
        <v>0</v>
      </c>
      <c r="S41" s="34">
        <f t="shared" si="21"/>
        <v>0</v>
      </c>
      <c r="T41" s="34">
        <f t="shared" si="21"/>
        <v>0</v>
      </c>
      <c r="U41" s="34">
        <f t="shared" si="21"/>
        <v>0</v>
      </c>
      <c r="V41" s="34">
        <f t="shared" si="21"/>
        <v>0</v>
      </c>
      <c r="W41" s="34">
        <f t="shared" si="21"/>
        <v>0</v>
      </c>
    </row>
    <row r="42" ht="12.75" hidden="1">
      <c r="I42" s="394"/>
    </row>
    <row r="43" ht="12.75" hidden="1">
      <c r="I43" s="394"/>
    </row>
    <row r="44" ht="12.75" hidden="1">
      <c r="I44" s="394"/>
    </row>
    <row r="45" ht="12.75" hidden="1">
      <c r="I45" s="394"/>
    </row>
    <row r="46" ht="12.75" hidden="1">
      <c r="I46" s="394"/>
    </row>
    <row r="47" ht="12.75" hidden="1">
      <c r="I47" s="394"/>
    </row>
    <row r="48" ht="12.75" hidden="1">
      <c r="I48" s="33"/>
    </row>
    <row r="49" ht="12.75" hidden="1">
      <c r="I49" s="287" t="s">
        <v>138</v>
      </c>
    </row>
    <row r="50" spans="9:23" ht="25.5" customHeight="1" hidden="1">
      <c r="I50" s="288" t="str">
        <f aca="true" t="shared" si="22" ref="I50:I58">I33</f>
        <v>Amenability of primary COCs to oxidation</v>
      </c>
      <c r="K50" s="313">
        <f>EXP(K33)*$J3</f>
        <v>3</v>
      </c>
      <c r="L50" s="313">
        <f>EXP(L33)*$J3</f>
        <v>3</v>
      </c>
      <c r="M50" s="313">
        <f aca="true" t="shared" si="23" ref="M50:W50">EXP(M33)*$J3</f>
        <v>3</v>
      </c>
      <c r="N50" s="313">
        <f t="shared" si="23"/>
        <v>3</v>
      </c>
      <c r="O50" s="313">
        <f t="shared" si="23"/>
        <v>3</v>
      </c>
      <c r="P50" s="313">
        <f t="shared" si="23"/>
        <v>3</v>
      </c>
      <c r="Q50" s="313">
        <f t="shared" si="23"/>
        <v>3</v>
      </c>
      <c r="R50" s="313">
        <f t="shared" si="23"/>
        <v>3</v>
      </c>
      <c r="S50" s="313">
        <f t="shared" si="23"/>
        <v>3</v>
      </c>
      <c r="T50" s="313">
        <f t="shared" si="23"/>
        <v>3</v>
      </c>
      <c r="U50" s="313">
        <f t="shared" si="23"/>
        <v>3</v>
      </c>
      <c r="V50" s="313">
        <f t="shared" si="23"/>
        <v>3</v>
      </c>
      <c r="W50" s="313">
        <f t="shared" si="23"/>
        <v>3</v>
      </c>
    </row>
    <row r="51" spans="9:23" ht="25.5" customHeight="1" hidden="1">
      <c r="I51" s="288" t="str">
        <f t="shared" si="22"/>
        <v>Amenability of co-contaminants to oxidation</v>
      </c>
      <c r="K51" s="313">
        <f aca="true" t="shared" si="24" ref="K51:W51">IF(SecondaryCOC&lt;&gt;"",EXP(K34)*$J4,0)</f>
        <v>0</v>
      </c>
      <c r="L51" s="313">
        <f t="shared" si="24"/>
        <v>0</v>
      </c>
      <c r="M51" s="313">
        <f t="shared" si="24"/>
        <v>0</v>
      </c>
      <c r="N51" s="313">
        <f t="shared" si="24"/>
        <v>0</v>
      </c>
      <c r="O51" s="313">
        <f t="shared" si="24"/>
        <v>0</v>
      </c>
      <c r="P51" s="313">
        <f t="shared" si="24"/>
        <v>0</v>
      </c>
      <c r="Q51" s="313">
        <f t="shared" si="24"/>
        <v>0</v>
      </c>
      <c r="R51" s="313">
        <f t="shared" si="24"/>
        <v>0</v>
      </c>
      <c r="S51" s="313">
        <f t="shared" si="24"/>
        <v>0</v>
      </c>
      <c r="T51" s="313">
        <f t="shared" si="24"/>
        <v>0</v>
      </c>
      <c r="U51" s="313">
        <f t="shared" si="24"/>
        <v>0</v>
      </c>
      <c r="V51" s="313">
        <f t="shared" si="24"/>
        <v>0</v>
      </c>
      <c r="W51" s="313">
        <f t="shared" si="24"/>
        <v>0</v>
      </c>
    </row>
    <row r="52" spans="9:23" ht="12.75" customHeight="1" hidden="1">
      <c r="I52" s="287" t="str">
        <f t="shared" si="22"/>
        <v>Overall Oxidant Amenability</v>
      </c>
      <c r="K52" s="467">
        <f>IF(COUNTIF(K33:K34,4)&gt;0,EXP(4),IF(K51&gt;0,SUM(K50:K51)/SUM($J3:$J4),SUM(K50:K51)/$J3))</f>
        <v>1</v>
      </c>
      <c r="L52" s="467">
        <f>IF(COUNTIF(L33:L34,4)&gt;0,EXP(4),IF(L51&gt;0,SUM(L50:L51)/SUM($J3:$J4),SUM(L50:L51)/$J3))</f>
        <v>1</v>
      </c>
      <c r="M52" s="467">
        <f aca="true" t="shared" si="25" ref="M52:W52">IF(COUNTIF(M33:M34,4)&gt;0,EXP(4),IF(M51&gt;0,SUM(M50:M51)/SUM($J3:$J4),SUM(M50:M51)/$J3))</f>
        <v>1</v>
      </c>
      <c r="N52" s="467">
        <f t="shared" si="25"/>
        <v>1</v>
      </c>
      <c r="O52" s="467">
        <f t="shared" si="25"/>
        <v>1</v>
      </c>
      <c r="P52" s="467">
        <f t="shared" si="25"/>
        <v>1</v>
      </c>
      <c r="Q52" s="467">
        <f t="shared" si="25"/>
        <v>1</v>
      </c>
      <c r="R52" s="467">
        <f t="shared" si="25"/>
        <v>1</v>
      </c>
      <c r="S52" s="467">
        <f t="shared" si="25"/>
        <v>1</v>
      </c>
      <c r="T52" s="467">
        <f t="shared" si="25"/>
        <v>1</v>
      </c>
      <c r="U52" s="467">
        <f t="shared" si="25"/>
        <v>1</v>
      </c>
      <c r="V52" s="467">
        <f t="shared" si="25"/>
        <v>1</v>
      </c>
      <c r="W52" s="467">
        <f t="shared" si="25"/>
        <v>1</v>
      </c>
    </row>
    <row r="53" spans="9:23" ht="25.5" customHeight="1" hidden="1">
      <c r="I53" s="288" t="str">
        <f t="shared" si="22"/>
        <v>Ability of approach to work with site foc</v>
      </c>
      <c r="K53" s="313">
        <f aca="true" t="shared" si="26" ref="K53:W53">EXP(K36)*$J6</f>
        <v>8.154845485377136</v>
      </c>
      <c r="L53" s="313">
        <f t="shared" si="26"/>
        <v>8.154845485377136</v>
      </c>
      <c r="M53" s="313">
        <f t="shared" si="26"/>
        <v>8.154845485377136</v>
      </c>
      <c r="N53" s="313">
        <f t="shared" si="26"/>
        <v>8.154845485377136</v>
      </c>
      <c r="O53" s="313">
        <f t="shared" si="26"/>
        <v>8.154845485377136</v>
      </c>
      <c r="P53" s="313">
        <f t="shared" si="26"/>
        <v>8.154845485377136</v>
      </c>
      <c r="Q53" s="313">
        <f t="shared" si="26"/>
        <v>8.154845485377136</v>
      </c>
      <c r="R53" s="313">
        <f t="shared" si="26"/>
        <v>3</v>
      </c>
      <c r="S53" s="313">
        <f t="shared" si="26"/>
        <v>3</v>
      </c>
      <c r="T53" s="313">
        <f t="shared" si="26"/>
        <v>3</v>
      </c>
      <c r="U53" s="313">
        <f t="shared" si="26"/>
        <v>3</v>
      </c>
      <c r="V53" s="313">
        <f t="shared" si="26"/>
        <v>3</v>
      </c>
      <c r="W53" s="313">
        <f t="shared" si="26"/>
        <v>3</v>
      </c>
    </row>
    <row r="54" spans="9:23" ht="25.5" customHeight="1" hidden="1">
      <c r="I54" s="288" t="str">
        <f t="shared" si="22"/>
        <v>Ability of approach to work with site pH</v>
      </c>
      <c r="K54" s="313">
        <f aca="true" t="shared" si="27" ref="K54:W54">EXP(K37)*$J7</f>
        <v>3</v>
      </c>
      <c r="L54" s="313">
        <f t="shared" si="27"/>
        <v>3</v>
      </c>
      <c r="M54" s="313">
        <f t="shared" si="27"/>
        <v>3</v>
      </c>
      <c r="N54" s="313">
        <f t="shared" si="27"/>
        <v>3</v>
      </c>
      <c r="O54" s="313">
        <f t="shared" si="27"/>
        <v>8.154845485377136</v>
      </c>
      <c r="P54" s="313">
        <f t="shared" si="27"/>
        <v>8.154845485377136</v>
      </c>
      <c r="Q54" s="313">
        <f t="shared" si="27"/>
        <v>8.154845485377136</v>
      </c>
      <c r="R54" s="313">
        <f t="shared" si="27"/>
        <v>22.16716829679195</v>
      </c>
      <c r="S54" s="313">
        <f t="shared" si="27"/>
        <v>3</v>
      </c>
      <c r="T54" s="313">
        <f t="shared" si="27"/>
        <v>8.154845485377136</v>
      </c>
      <c r="U54" s="313">
        <f t="shared" si="27"/>
        <v>3</v>
      </c>
      <c r="V54" s="313">
        <f t="shared" si="27"/>
        <v>3</v>
      </c>
      <c r="W54" s="313">
        <f t="shared" si="27"/>
        <v>3</v>
      </c>
    </row>
    <row r="55" spans="9:23" ht="25.5" customHeight="1" hidden="1">
      <c r="I55" s="288" t="str">
        <f t="shared" si="22"/>
        <v>Ability of approach to work with site alkalinity</v>
      </c>
      <c r="K55" s="313">
        <f aca="true" t="shared" si="28" ref="K55:W55">EXP(K38)*$J8</f>
        <v>3</v>
      </c>
      <c r="L55" s="313">
        <f t="shared" si="28"/>
        <v>3</v>
      </c>
      <c r="M55" s="313">
        <f t="shared" si="28"/>
        <v>3</v>
      </c>
      <c r="N55" s="313">
        <f t="shared" si="28"/>
        <v>3</v>
      </c>
      <c r="O55" s="313">
        <f t="shared" si="28"/>
        <v>3</v>
      </c>
      <c r="P55" s="313">
        <f t="shared" si="28"/>
        <v>3</v>
      </c>
      <c r="Q55" s="313">
        <f t="shared" si="28"/>
        <v>3</v>
      </c>
      <c r="R55" s="313">
        <f t="shared" si="28"/>
        <v>3</v>
      </c>
      <c r="S55" s="313">
        <f t="shared" si="28"/>
        <v>3</v>
      </c>
      <c r="T55" s="313">
        <f t="shared" si="28"/>
        <v>3</v>
      </c>
      <c r="U55" s="313">
        <f t="shared" si="28"/>
        <v>3</v>
      </c>
      <c r="V55" s="313">
        <f t="shared" si="28"/>
        <v>3</v>
      </c>
      <c r="W55" s="313">
        <f t="shared" si="28"/>
        <v>3</v>
      </c>
    </row>
    <row r="56" spans="9:23" ht="25.5" customHeight="1" hidden="1">
      <c r="I56" s="288" t="str">
        <f t="shared" si="22"/>
        <v>Ability of approach to work with site chloride</v>
      </c>
      <c r="K56" s="313">
        <f aca="true" t="shared" si="29" ref="K56:W56">EXP(K39)*$J9</f>
        <v>3</v>
      </c>
      <c r="L56" s="313">
        <f t="shared" si="29"/>
        <v>8.154845485377136</v>
      </c>
      <c r="M56" s="313">
        <f t="shared" si="29"/>
        <v>8.154845485377136</v>
      </c>
      <c r="N56" s="313">
        <f t="shared" si="29"/>
        <v>8.154845485377136</v>
      </c>
      <c r="O56" s="313">
        <f t="shared" si="29"/>
        <v>8.154845485377136</v>
      </c>
      <c r="P56" s="313">
        <f t="shared" si="29"/>
        <v>8.154845485377136</v>
      </c>
      <c r="Q56" s="313">
        <f t="shared" si="29"/>
        <v>8.154845485377136</v>
      </c>
      <c r="R56" s="313">
        <f t="shared" si="29"/>
        <v>8.154845485377136</v>
      </c>
      <c r="S56" s="313">
        <f t="shared" si="29"/>
        <v>22.16716829679195</v>
      </c>
      <c r="T56" s="313">
        <f t="shared" si="29"/>
        <v>8.154845485377136</v>
      </c>
      <c r="U56" s="313">
        <f t="shared" si="29"/>
        <v>8.154845485377136</v>
      </c>
      <c r="V56" s="313">
        <f t="shared" si="29"/>
        <v>8.154845485377136</v>
      </c>
      <c r="W56" s="313">
        <f t="shared" si="29"/>
        <v>8.154845485377136</v>
      </c>
    </row>
    <row r="57" spans="9:23" ht="25.5" hidden="1">
      <c r="I57" s="288" t="str">
        <f t="shared" si="22"/>
        <v>Ability of approach to work with site mass distribution</v>
      </c>
      <c r="K57" s="313">
        <f aca="true" t="shared" si="30" ref="K57:W57">EXP(K40)*$J10</f>
        <v>3</v>
      </c>
      <c r="L57" s="313">
        <f t="shared" si="30"/>
        <v>3</v>
      </c>
      <c r="M57" s="313">
        <f t="shared" si="30"/>
        <v>3</v>
      </c>
      <c r="N57" s="313">
        <f t="shared" si="30"/>
        <v>3</v>
      </c>
      <c r="O57" s="313">
        <f t="shared" si="30"/>
        <v>3</v>
      </c>
      <c r="P57" s="313">
        <f t="shared" si="30"/>
        <v>3</v>
      </c>
      <c r="Q57" s="313">
        <f t="shared" si="30"/>
        <v>3</v>
      </c>
      <c r="R57" s="313">
        <f t="shared" si="30"/>
        <v>3</v>
      </c>
      <c r="S57" s="313">
        <f t="shared" si="30"/>
        <v>3</v>
      </c>
      <c r="T57" s="313">
        <f t="shared" si="30"/>
        <v>3</v>
      </c>
      <c r="U57" s="313">
        <f t="shared" si="30"/>
        <v>3</v>
      </c>
      <c r="V57" s="313">
        <f t="shared" si="30"/>
        <v>8.154845485377136</v>
      </c>
      <c r="W57" s="313">
        <f t="shared" si="30"/>
        <v>3</v>
      </c>
    </row>
    <row r="58" spans="9:23" ht="12.75" hidden="1">
      <c r="I58" s="287" t="str">
        <f t="shared" si="22"/>
        <v>Overall Oxidant Effectiveness</v>
      </c>
      <c r="K58" s="467">
        <f>IF(COUNTIF(K36:K40,4),EXP(4),SUM(K53:K57)/SUM($J6:$J10))</f>
        <v>1.3436563656918092</v>
      </c>
      <c r="L58" s="467">
        <f aca="true" t="shared" si="31" ref="L58:W58">IF(COUNTIF(L36:L40,4),EXP(4),SUM(L53:L57)/SUM($J6:$J10))</f>
        <v>1.687312731383618</v>
      </c>
      <c r="M58" s="467">
        <f t="shared" si="31"/>
        <v>1.687312731383618</v>
      </c>
      <c r="N58" s="467">
        <f t="shared" si="31"/>
        <v>1.687312731383618</v>
      </c>
      <c r="O58" s="467">
        <f t="shared" si="31"/>
        <v>2.030969097075427</v>
      </c>
      <c r="P58" s="467">
        <f t="shared" si="31"/>
        <v>2.030969097075427</v>
      </c>
      <c r="Q58" s="467">
        <f t="shared" si="31"/>
        <v>2.030969097075427</v>
      </c>
      <c r="R58" s="467">
        <f t="shared" si="31"/>
        <v>2.621467585477939</v>
      </c>
      <c r="S58" s="467">
        <f t="shared" si="31"/>
        <v>2.27781121978613</v>
      </c>
      <c r="T58" s="467">
        <f t="shared" si="31"/>
        <v>1.687312731383618</v>
      </c>
      <c r="U58" s="467">
        <f t="shared" si="31"/>
        <v>1.3436563656918092</v>
      </c>
      <c r="V58" s="467">
        <f t="shared" si="31"/>
        <v>1.6873127313836183</v>
      </c>
      <c r="W58" s="467">
        <f t="shared" si="31"/>
        <v>1.3436563656918092</v>
      </c>
    </row>
    <row r="59" ht="12.75" hidden="1"/>
    <row r="60" spans="9:23" ht="12.75" hidden="1">
      <c r="I60" s="316" t="s">
        <v>350</v>
      </c>
      <c r="K60" s="313" t="str">
        <f aca="true" t="shared" si="32" ref="K60:W60">VLOOKUP(ROUND(LN(K52),0),ReverseOrder,2)</f>
        <v>Excellent</v>
      </c>
      <c r="L60" s="313" t="str">
        <f t="shared" si="32"/>
        <v>Excellent</v>
      </c>
      <c r="M60" s="313" t="str">
        <f t="shared" si="32"/>
        <v>Excellent</v>
      </c>
      <c r="N60" s="313" t="str">
        <f t="shared" si="32"/>
        <v>Excellent</v>
      </c>
      <c r="O60" s="313" t="str">
        <f t="shared" si="32"/>
        <v>Excellent</v>
      </c>
      <c r="P60" s="313" t="str">
        <f t="shared" si="32"/>
        <v>Excellent</v>
      </c>
      <c r="Q60" s="313" t="str">
        <f t="shared" si="32"/>
        <v>Excellent</v>
      </c>
      <c r="R60" s="313" t="str">
        <f t="shared" si="32"/>
        <v>Excellent</v>
      </c>
      <c r="S60" s="313" t="str">
        <f t="shared" si="32"/>
        <v>Excellent</v>
      </c>
      <c r="T60" s="313" t="str">
        <f t="shared" si="32"/>
        <v>Excellent</v>
      </c>
      <c r="U60" s="313" t="str">
        <f t="shared" si="32"/>
        <v>Excellent</v>
      </c>
      <c r="V60" s="313" t="str">
        <f t="shared" si="32"/>
        <v>Excellent</v>
      </c>
      <c r="W60" s="313" t="str">
        <f t="shared" si="32"/>
        <v>Excellent</v>
      </c>
    </row>
    <row r="61" spans="9:23" ht="25.5" hidden="1">
      <c r="I61" s="316" t="s">
        <v>350</v>
      </c>
      <c r="K61" s="313" t="str">
        <f aca="true" t="shared" si="33" ref="K61:W61">VLOOKUP(ROUND(LN(K58),0),ReverseOrder,2)</f>
        <v>Excellent</v>
      </c>
      <c r="L61" s="313" t="str">
        <f t="shared" si="33"/>
        <v>Good</v>
      </c>
      <c r="M61" s="313" t="str">
        <f t="shared" si="33"/>
        <v>Good</v>
      </c>
      <c r="N61" s="313" t="str">
        <f t="shared" si="33"/>
        <v>Good</v>
      </c>
      <c r="O61" s="313" t="str">
        <f t="shared" si="33"/>
        <v>Good</v>
      </c>
      <c r="P61" s="313" t="str">
        <f t="shared" si="33"/>
        <v>Good</v>
      </c>
      <c r="Q61" s="313" t="str">
        <f t="shared" si="33"/>
        <v>Good</v>
      </c>
      <c r="R61" s="313" t="str">
        <f t="shared" si="33"/>
        <v>Good</v>
      </c>
      <c r="S61" s="313" t="str">
        <f t="shared" si="33"/>
        <v>Good</v>
      </c>
      <c r="T61" s="313" t="str">
        <f t="shared" si="33"/>
        <v>Good</v>
      </c>
      <c r="U61" s="313" t="str">
        <f t="shared" si="33"/>
        <v>Excellent</v>
      </c>
      <c r="V61" s="313" t="str">
        <f t="shared" si="33"/>
        <v>Good</v>
      </c>
      <c r="W61" s="313" t="str">
        <f t="shared" si="33"/>
        <v>Excellent</v>
      </c>
    </row>
    <row r="62" ht="12.75" hidden="1">
      <c r="G62" s="412"/>
    </row>
    <row r="63" spans="9:23" ht="12.75" hidden="1">
      <c r="I63" s="316">
        <f>+SecondaryCOC</f>
      </c>
      <c r="K63" s="418">
        <f aca="true" t="shared" si="34" ref="K63:W63">LN(K52)</f>
        <v>0</v>
      </c>
      <c r="L63" s="418">
        <f t="shared" si="34"/>
        <v>0</v>
      </c>
      <c r="M63" s="418">
        <f t="shared" si="34"/>
        <v>0</v>
      </c>
      <c r="N63" s="418">
        <f t="shared" si="34"/>
        <v>0</v>
      </c>
      <c r="O63" s="418">
        <f t="shared" si="34"/>
        <v>0</v>
      </c>
      <c r="P63" s="418">
        <f t="shared" si="34"/>
        <v>0</v>
      </c>
      <c r="Q63" s="418">
        <f t="shared" si="34"/>
        <v>0</v>
      </c>
      <c r="R63" s="418">
        <f t="shared" si="34"/>
        <v>0</v>
      </c>
      <c r="S63" s="418">
        <f t="shared" si="34"/>
        <v>0</v>
      </c>
      <c r="T63" s="418">
        <f t="shared" si="34"/>
        <v>0</v>
      </c>
      <c r="U63" s="418">
        <f t="shared" si="34"/>
        <v>0</v>
      </c>
      <c r="V63" s="418">
        <f t="shared" si="34"/>
        <v>0</v>
      </c>
      <c r="W63" s="418">
        <f t="shared" si="34"/>
        <v>0</v>
      </c>
    </row>
    <row r="64" spans="11:23" ht="12.75" hidden="1">
      <c r="K64" s="418">
        <f aca="true" t="shared" si="35" ref="K64:W64">LN(K58)</f>
        <v>0.2953945291203478</v>
      </c>
      <c r="L64" s="418">
        <f t="shared" si="35"/>
        <v>0.5231371636115855</v>
      </c>
      <c r="M64" s="418">
        <f t="shared" si="35"/>
        <v>0.5231371636115855</v>
      </c>
      <c r="N64" s="418">
        <f t="shared" si="35"/>
        <v>0.5231371636115855</v>
      </c>
      <c r="O64" s="418">
        <f t="shared" si="35"/>
        <v>0.7085130668623151</v>
      </c>
      <c r="P64" s="418">
        <f t="shared" si="35"/>
        <v>0.7085130668623151</v>
      </c>
      <c r="Q64" s="418">
        <f t="shared" si="35"/>
        <v>0.7085130668623151</v>
      </c>
      <c r="R64" s="418">
        <f t="shared" si="35"/>
        <v>0.963734308078147</v>
      </c>
      <c r="S64" s="418">
        <f t="shared" si="35"/>
        <v>0.8232149905576911</v>
      </c>
      <c r="T64" s="418">
        <f t="shared" si="35"/>
        <v>0.5231371636115855</v>
      </c>
      <c r="U64" s="418">
        <f t="shared" si="35"/>
        <v>0.2953945291203478</v>
      </c>
      <c r="V64" s="418">
        <f t="shared" si="35"/>
        <v>0.5231371636115856</v>
      </c>
      <c r="W64" s="418">
        <f t="shared" si="35"/>
        <v>0.2953945291203478</v>
      </c>
    </row>
    <row r="65" spans="1:23" ht="25.5" hidden="1">
      <c r="A65" s="288" t="s">
        <v>338</v>
      </c>
      <c r="B65" s="34">
        <f aca="true" t="shared" si="36" ref="B65:C73">IF(ISNA(MATCH(B15,NewRatings,0)),4,MATCH(B15,NewRatings,0)-1)</f>
        <v>0</v>
      </c>
      <c r="C65" s="34">
        <f t="shared" si="36"/>
        <v>0</v>
      </c>
      <c r="D65" s="34">
        <f aca="true" t="shared" si="37" ref="D65:E73">IF(ISNA(MATCH(D15,NewRatings,0)),6,MATCH(D15,NewRatings,0)-1)</f>
        <v>6</v>
      </c>
      <c r="E65" s="34">
        <f t="shared" si="37"/>
        <v>0</v>
      </c>
      <c r="F65" s="34">
        <f aca="true" t="shared" si="38" ref="F65:F73">IF(ISNA(MATCH(F15,NewRatings,0)),6,MATCH(F15,NewRatings,0)-1)</f>
        <v>0</v>
      </c>
      <c r="G65" s="414">
        <f aca="true" t="shared" si="39" ref="G65:H73">IF(ISNA(MATCH(G15,Redisrupt,0)),6,MATCH(G15,Redisrupt,0))</f>
        <v>3</v>
      </c>
      <c r="H65" s="414">
        <f t="shared" si="39"/>
        <v>3</v>
      </c>
      <c r="K65" s="419"/>
      <c r="L65" s="419"/>
      <c r="M65" s="419"/>
      <c r="N65" s="419"/>
      <c r="O65" s="419"/>
      <c r="P65" s="419"/>
      <c r="Q65" s="419"/>
      <c r="R65" s="419"/>
      <c r="S65" s="419"/>
      <c r="T65" s="419"/>
      <c r="U65" s="419"/>
      <c r="V65" s="419"/>
      <c r="W65" s="419"/>
    </row>
    <row r="66" spans="1:23" ht="12.75" hidden="1">
      <c r="A66" s="288" t="s">
        <v>305</v>
      </c>
      <c r="B66" s="34">
        <f t="shared" si="36"/>
        <v>0</v>
      </c>
      <c r="C66" s="34">
        <f t="shared" si="36"/>
        <v>0</v>
      </c>
      <c r="D66" s="34">
        <f t="shared" si="37"/>
        <v>6</v>
      </c>
      <c r="E66" s="34">
        <f t="shared" si="37"/>
        <v>0</v>
      </c>
      <c r="F66" s="34">
        <f t="shared" si="38"/>
        <v>1</v>
      </c>
      <c r="G66" s="414">
        <f t="shared" si="39"/>
        <v>2</v>
      </c>
      <c r="H66" s="414">
        <f t="shared" si="39"/>
        <v>2</v>
      </c>
      <c r="K66" s="419"/>
      <c r="L66" s="419"/>
      <c r="M66" s="419"/>
      <c r="N66" s="419"/>
      <c r="O66" s="419"/>
      <c r="P66" s="419"/>
      <c r="Q66" s="419"/>
      <c r="R66" s="419"/>
      <c r="S66" s="419"/>
      <c r="T66" s="419"/>
      <c r="U66" s="419"/>
      <c r="V66" s="419"/>
      <c r="W66" s="419"/>
    </row>
    <row r="67" spans="1:8" ht="12.75" customHeight="1" hidden="1">
      <c r="A67" s="288" t="s">
        <v>246</v>
      </c>
      <c r="B67" s="34">
        <f t="shared" si="36"/>
        <v>0</v>
      </c>
      <c r="C67" s="34">
        <f t="shared" si="36"/>
        <v>0</v>
      </c>
      <c r="D67" s="34">
        <f t="shared" si="37"/>
        <v>6</v>
      </c>
      <c r="E67" s="34">
        <f t="shared" si="37"/>
        <v>0</v>
      </c>
      <c r="F67" s="34">
        <f t="shared" si="38"/>
        <v>0</v>
      </c>
      <c r="G67" s="414">
        <f t="shared" si="39"/>
        <v>1</v>
      </c>
      <c r="H67" s="414">
        <f t="shared" si="39"/>
        <v>2</v>
      </c>
    </row>
    <row r="68" spans="1:8" ht="25.5" customHeight="1" hidden="1">
      <c r="A68" s="288" t="s">
        <v>339</v>
      </c>
      <c r="B68" s="34">
        <f t="shared" si="36"/>
        <v>0</v>
      </c>
      <c r="C68" s="34">
        <f t="shared" si="36"/>
        <v>0</v>
      </c>
      <c r="D68" s="34">
        <f t="shared" si="37"/>
        <v>6</v>
      </c>
      <c r="E68" s="34">
        <f t="shared" si="37"/>
        <v>0</v>
      </c>
      <c r="F68" s="34">
        <f t="shared" si="38"/>
        <v>0</v>
      </c>
      <c r="G68" s="414">
        <f t="shared" si="39"/>
        <v>3</v>
      </c>
      <c r="H68" s="414">
        <f t="shared" si="39"/>
        <v>2</v>
      </c>
    </row>
    <row r="69" spans="1:8" ht="12.75" hidden="1">
      <c r="A69" s="288" t="s">
        <v>269</v>
      </c>
      <c r="B69" s="34">
        <f t="shared" si="36"/>
        <v>0</v>
      </c>
      <c r="C69" s="34">
        <f t="shared" si="36"/>
        <v>0</v>
      </c>
      <c r="D69" s="34">
        <f t="shared" si="37"/>
        <v>6</v>
      </c>
      <c r="E69" s="34">
        <f t="shared" si="37"/>
        <v>0</v>
      </c>
      <c r="F69" s="34">
        <f t="shared" si="38"/>
        <v>0</v>
      </c>
      <c r="G69" s="414">
        <f t="shared" si="39"/>
        <v>4</v>
      </c>
      <c r="H69" s="414">
        <f t="shared" si="39"/>
        <v>4</v>
      </c>
    </row>
    <row r="70" spans="1:13" ht="25.5" hidden="1">
      <c r="A70" s="288" t="s">
        <v>340</v>
      </c>
      <c r="B70" s="34">
        <f t="shared" si="36"/>
        <v>0</v>
      </c>
      <c r="C70" s="34">
        <f t="shared" si="36"/>
        <v>3</v>
      </c>
      <c r="D70" s="34">
        <f t="shared" si="37"/>
        <v>6</v>
      </c>
      <c r="E70" s="34">
        <f t="shared" si="37"/>
        <v>0</v>
      </c>
      <c r="F70" s="34">
        <f t="shared" si="38"/>
        <v>0</v>
      </c>
      <c r="G70" s="414">
        <f t="shared" si="39"/>
        <v>2</v>
      </c>
      <c r="H70" s="414">
        <f t="shared" si="39"/>
        <v>3</v>
      </c>
      <c r="K70" s="313">
        <f>Amenability_Wt</f>
        <v>0.2</v>
      </c>
      <c r="L70" s="647" t="s">
        <v>365</v>
      </c>
      <c r="M70" s="647"/>
    </row>
    <row r="71" spans="1:13" ht="25.5" hidden="1">
      <c r="A71" s="288" t="s">
        <v>341</v>
      </c>
      <c r="B71" s="34">
        <f t="shared" si="36"/>
        <v>0</v>
      </c>
      <c r="C71" s="34">
        <f t="shared" si="36"/>
        <v>3</v>
      </c>
      <c r="D71" s="34">
        <f t="shared" si="37"/>
        <v>6</v>
      </c>
      <c r="E71" s="34">
        <f t="shared" si="37"/>
        <v>0</v>
      </c>
      <c r="F71" s="34">
        <f t="shared" si="38"/>
        <v>0</v>
      </c>
      <c r="G71" s="414">
        <f t="shared" si="39"/>
        <v>2</v>
      </c>
      <c r="H71" s="414">
        <f t="shared" si="39"/>
        <v>3</v>
      </c>
      <c r="I71" s="648" t="s">
        <v>372</v>
      </c>
      <c r="J71" s="648"/>
      <c r="K71" s="313">
        <f>Implementability</f>
        <v>0.3</v>
      </c>
      <c r="L71" s="647" t="s">
        <v>366</v>
      </c>
      <c r="M71" s="647"/>
    </row>
    <row r="72" spans="1:13" ht="12.75" hidden="1">
      <c r="A72" s="288" t="s">
        <v>342</v>
      </c>
      <c r="B72" s="34">
        <f t="shared" si="36"/>
        <v>0</v>
      </c>
      <c r="C72" s="34">
        <f t="shared" si="36"/>
        <v>0</v>
      </c>
      <c r="D72" s="34">
        <f t="shared" si="37"/>
        <v>6</v>
      </c>
      <c r="E72" s="34">
        <f t="shared" si="37"/>
        <v>0</v>
      </c>
      <c r="F72" s="34">
        <f t="shared" si="38"/>
        <v>1</v>
      </c>
      <c r="G72" s="414">
        <f t="shared" si="39"/>
        <v>2</v>
      </c>
      <c r="H72" s="414">
        <f t="shared" si="39"/>
        <v>2</v>
      </c>
      <c r="K72" s="313">
        <f>Effectiveness</f>
        <v>0.5</v>
      </c>
      <c r="L72" s="647" t="s">
        <v>367</v>
      </c>
      <c r="M72" s="647"/>
    </row>
    <row r="73" spans="1:8" ht="25.5" hidden="1">
      <c r="A73" s="288" t="s">
        <v>343</v>
      </c>
      <c r="B73" s="34">
        <f t="shared" si="36"/>
        <v>0</v>
      </c>
      <c r="C73" s="34">
        <f t="shared" si="36"/>
        <v>0</v>
      </c>
      <c r="D73" s="34">
        <f t="shared" si="37"/>
        <v>6</v>
      </c>
      <c r="E73" s="34">
        <f t="shared" si="37"/>
        <v>2</v>
      </c>
      <c r="F73" s="34">
        <f t="shared" si="38"/>
        <v>0</v>
      </c>
      <c r="G73" s="414">
        <f t="shared" si="39"/>
        <v>4</v>
      </c>
      <c r="H73" s="414">
        <f t="shared" si="39"/>
        <v>3</v>
      </c>
    </row>
    <row r="74" ht="12.75" hidden="1"/>
    <row r="75" ht="12.75" hidden="1"/>
    <row r="76" ht="12.75" hidden="1"/>
    <row r="77" spans="1:10" ht="12.75" hidden="1">
      <c r="A77" s="287" t="s">
        <v>138</v>
      </c>
      <c r="I77" s="458" t="s">
        <v>351</v>
      </c>
      <c r="J77" s="458" t="s">
        <v>352</v>
      </c>
    </row>
    <row r="78" spans="1:23" ht="25.5" hidden="1">
      <c r="A78" s="288" t="s">
        <v>338</v>
      </c>
      <c r="B78" s="316">
        <f aca="true" t="shared" si="40" ref="B78:H78">IF(B65=6,6,EXP(B65)*B$14)</f>
        <v>3</v>
      </c>
      <c r="C78" s="316">
        <f t="shared" si="40"/>
        <v>3</v>
      </c>
      <c r="D78" s="316">
        <f t="shared" si="40"/>
        <v>6</v>
      </c>
      <c r="E78" s="316">
        <f t="shared" si="40"/>
        <v>3</v>
      </c>
      <c r="F78" s="316">
        <f t="shared" si="40"/>
        <v>3</v>
      </c>
      <c r="G78" s="316">
        <f t="shared" si="40"/>
        <v>0</v>
      </c>
      <c r="H78" s="316">
        <f t="shared" si="40"/>
        <v>0</v>
      </c>
      <c r="I78" s="316" t="str">
        <f aca="true" t="shared" si="41" ref="I78:I86">VLOOKUP(ROUND(LN(J78),0),ReverseOrder,2)</f>
        <v>Excellent</v>
      </c>
      <c r="J78" s="366">
        <f aca="true" t="shared" si="42" ref="J78:J86">IF(OR(COUNTIF(B65:F65,4),OR(AND(G65=4,G78&gt;0),AND(H65=4,H78&gt;0))),EXP(4),IF(D78=6,SUM(E78:H78,B78:C78)/SUM(B$14:C$14,E$14:H$14),SUM(B78:H78)/SUM(B$14:H$14)))</f>
        <v>1</v>
      </c>
      <c r="K78" s="420">
        <f aca="true" t="shared" si="43" ref="K78:W86">IF(OR($J78&gt;=EXP(4),K$52&gt;=EXP(4),K$58&gt;=EXP(4)),4,LN($J78*Implementability+K$52*Amenability_Wt+K$58*Effectiveness))</f>
        <v>0.1585650787404293</v>
      </c>
      <c r="L78" s="421">
        <f t="shared" si="43"/>
        <v>0.29539452912034764</v>
      </c>
      <c r="M78" s="421">
        <f t="shared" si="43"/>
        <v>0.29539452912034764</v>
      </c>
      <c r="N78" s="421">
        <f t="shared" si="43"/>
        <v>0.29539452912034764</v>
      </c>
      <c r="O78" s="421">
        <f t="shared" si="43"/>
        <v>0.41573522184362866</v>
      </c>
      <c r="P78" s="421">
        <f t="shared" si="43"/>
        <v>0.41573522184362866</v>
      </c>
      <c r="Q78" s="421">
        <f t="shared" si="43"/>
        <v>0.41573522184362866</v>
      </c>
      <c r="R78" s="421">
        <f t="shared" si="43"/>
        <v>0.5937321734741831</v>
      </c>
      <c r="S78" s="421">
        <f t="shared" si="43"/>
        <v>0.49402870804417875</v>
      </c>
      <c r="T78" s="421">
        <f t="shared" si="43"/>
        <v>0.29539452912034764</v>
      </c>
      <c r="U78" s="421">
        <f t="shared" si="43"/>
        <v>0.1585650787404293</v>
      </c>
      <c r="V78" s="421">
        <f t="shared" si="43"/>
        <v>0.29539452912034764</v>
      </c>
      <c r="W78" s="422">
        <f t="shared" si="43"/>
        <v>0.1585650787404293</v>
      </c>
    </row>
    <row r="79" spans="1:23" ht="12.75" hidden="1">
      <c r="A79" s="288" t="s">
        <v>305</v>
      </c>
      <c r="B79" s="316">
        <f aca="true" t="shared" si="44" ref="B79:D86">IF(B66=6,6,EXP(B66)*B$14)</f>
        <v>3</v>
      </c>
      <c r="C79" s="316">
        <f>IF(C66=6,6,EXP(C66)*C$14)</f>
        <v>3</v>
      </c>
      <c r="D79" s="316">
        <f t="shared" si="44"/>
        <v>6</v>
      </c>
      <c r="E79" s="316">
        <f aca="true" t="shared" si="45" ref="E79:H86">IF(E66=6,6,EXP(E66)*E$14)</f>
        <v>3</v>
      </c>
      <c r="F79" s="316">
        <f t="shared" si="45"/>
        <v>8.154845485377136</v>
      </c>
      <c r="G79" s="316">
        <f t="shared" si="45"/>
        <v>0</v>
      </c>
      <c r="H79" s="316">
        <f t="shared" si="45"/>
        <v>0</v>
      </c>
      <c r="I79" s="316" t="str">
        <f t="shared" si="41"/>
        <v>Excellent</v>
      </c>
      <c r="J79" s="366">
        <f t="shared" si="42"/>
        <v>1.4295704571147614</v>
      </c>
      <c r="K79" s="423">
        <f t="shared" si="43"/>
        <v>0.26290205827688334</v>
      </c>
      <c r="L79" s="424">
        <f t="shared" si="43"/>
        <v>0.38698031401008803</v>
      </c>
      <c r="M79" s="424">
        <f t="shared" si="43"/>
        <v>0.38698031401008803</v>
      </c>
      <c r="N79" s="424">
        <f t="shared" si="43"/>
        <v>0.38698031401008803</v>
      </c>
      <c r="O79" s="424">
        <f t="shared" si="43"/>
        <v>0.4973486270480482</v>
      </c>
      <c r="P79" s="424">
        <f t="shared" si="43"/>
        <v>0.4973486270480482</v>
      </c>
      <c r="Q79" s="424">
        <f t="shared" si="43"/>
        <v>0.4973486270480482</v>
      </c>
      <c r="R79" s="424">
        <f t="shared" si="43"/>
        <v>0.6624843079417457</v>
      </c>
      <c r="S79" s="424">
        <f t="shared" si="43"/>
        <v>0.5697226819364639</v>
      </c>
      <c r="T79" s="424">
        <f t="shared" si="43"/>
        <v>0.38698031401008803</v>
      </c>
      <c r="U79" s="424">
        <f t="shared" si="43"/>
        <v>0.26290205827688334</v>
      </c>
      <c r="V79" s="424">
        <f t="shared" si="43"/>
        <v>0.38698031401008803</v>
      </c>
      <c r="W79" s="425">
        <f t="shared" si="43"/>
        <v>0.26290205827688334</v>
      </c>
    </row>
    <row r="80" spans="1:23" ht="12.75" hidden="1">
      <c r="A80" s="288" t="s">
        <v>246</v>
      </c>
      <c r="B80" s="316">
        <f t="shared" si="44"/>
        <v>3</v>
      </c>
      <c r="C80" s="316">
        <f t="shared" si="44"/>
        <v>3</v>
      </c>
      <c r="D80" s="316">
        <f t="shared" si="44"/>
        <v>6</v>
      </c>
      <c r="E80" s="316">
        <f t="shared" si="45"/>
        <v>3</v>
      </c>
      <c r="F80" s="316">
        <f t="shared" si="45"/>
        <v>3</v>
      </c>
      <c r="G80" s="316">
        <f t="shared" si="45"/>
        <v>0</v>
      </c>
      <c r="H80" s="316">
        <f t="shared" si="45"/>
        <v>0</v>
      </c>
      <c r="I80" s="316" t="str">
        <f t="shared" si="41"/>
        <v>Excellent</v>
      </c>
      <c r="J80" s="366">
        <f t="shared" si="42"/>
        <v>1</v>
      </c>
      <c r="K80" s="423">
        <f t="shared" si="43"/>
        <v>0.1585650787404293</v>
      </c>
      <c r="L80" s="424">
        <f t="shared" si="43"/>
        <v>0.29539452912034764</v>
      </c>
      <c r="M80" s="424">
        <f t="shared" si="43"/>
        <v>0.29539452912034764</v>
      </c>
      <c r="N80" s="424">
        <f t="shared" si="43"/>
        <v>0.29539452912034764</v>
      </c>
      <c r="O80" s="424">
        <f t="shared" si="43"/>
        <v>0.41573522184362866</v>
      </c>
      <c r="P80" s="424">
        <f t="shared" si="43"/>
        <v>0.41573522184362866</v>
      </c>
      <c r="Q80" s="424">
        <f t="shared" si="43"/>
        <v>0.41573522184362866</v>
      </c>
      <c r="R80" s="424">
        <f t="shared" si="43"/>
        <v>0.5937321734741831</v>
      </c>
      <c r="S80" s="424">
        <f t="shared" si="43"/>
        <v>0.49402870804417875</v>
      </c>
      <c r="T80" s="424">
        <f t="shared" si="43"/>
        <v>0.29539452912034764</v>
      </c>
      <c r="U80" s="424">
        <f t="shared" si="43"/>
        <v>0.1585650787404293</v>
      </c>
      <c r="V80" s="424">
        <f t="shared" si="43"/>
        <v>0.29539452912034764</v>
      </c>
      <c r="W80" s="425">
        <f t="shared" si="43"/>
        <v>0.1585650787404293</v>
      </c>
    </row>
    <row r="81" spans="1:23" ht="25.5" hidden="1">
      <c r="A81" s="288" t="s">
        <v>339</v>
      </c>
      <c r="B81" s="316">
        <f t="shared" si="44"/>
        <v>3</v>
      </c>
      <c r="C81" s="316">
        <f aca="true" t="shared" si="46" ref="C81:C86">IF(C68=6,6,EXP(C68)*C$14)</f>
        <v>3</v>
      </c>
      <c r="D81" s="316">
        <f t="shared" si="44"/>
        <v>6</v>
      </c>
      <c r="E81" s="316">
        <f t="shared" si="45"/>
        <v>3</v>
      </c>
      <c r="F81" s="316">
        <f t="shared" si="45"/>
        <v>3</v>
      </c>
      <c r="G81" s="316">
        <f t="shared" si="45"/>
        <v>0</v>
      </c>
      <c r="H81" s="316">
        <f t="shared" si="45"/>
        <v>0</v>
      </c>
      <c r="I81" s="316" t="str">
        <f t="shared" si="41"/>
        <v>Excellent</v>
      </c>
      <c r="J81" s="366">
        <f t="shared" si="42"/>
        <v>1</v>
      </c>
      <c r="K81" s="423">
        <f t="shared" si="43"/>
        <v>0.1585650787404293</v>
      </c>
      <c r="L81" s="424">
        <f t="shared" si="43"/>
        <v>0.29539452912034764</v>
      </c>
      <c r="M81" s="424">
        <f t="shared" si="43"/>
        <v>0.29539452912034764</v>
      </c>
      <c r="N81" s="424">
        <f t="shared" si="43"/>
        <v>0.29539452912034764</v>
      </c>
      <c r="O81" s="424">
        <f t="shared" si="43"/>
        <v>0.41573522184362866</v>
      </c>
      <c r="P81" s="424">
        <f t="shared" si="43"/>
        <v>0.41573522184362866</v>
      </c>
      <c r="Q81" s="424">
        <f t="shared" si="43"/>
        <v>0.41573522184362866</v>
      </c>
      <c r="R81" s="424">
        <f t="shared" si="43"/>
        <v>0.5937321734741831</v>
      </c>
      <c r="S81" s="424">
        <f t="shared" si="43"/>
        <v>0.49402870804417875</v>
      </c>
      <c r="T81" s="424">
        <f t="shared" si="43"/>
        <v>0.29539452912034764</v>
      </c>
      <c r="U81" s="424">
        <f t="shared" si="43"/>
        <v>0.1585650787404293</v>
      </c>
      <c r="V81" s="424">
        <f t="shared" si="43"/>
        <v>0.29539452912034764</v>
      </c>
      <c r="W81" s="425">
        <f t="shared" si="43"/>
        <v>0.1585650787404293</v>
      </c>
    </row>
    <row r="82" spans="1:23" ht="12.75" hidden="1">
      <c r="A82" s="288" t="s">
        <v>269</v>
      </c>
      <c r="B82" s="316">
        <f t="shared" si="44"/>
        <v>3</v>
      </c>
      <c r="C82" s="316">
        <f t="shared" si="46"/>
        <v>3</v>
      </c>
      <c r="D82" s="316">
        <f t="shared" si="44"/>
        <v>6</v>
      </c>
      <c r="E82" s="316">
        <f t="shared" si="45"/>
        <v>3</v>
      </c>
      <c r="F82" s="316">
        <f t="shared" si="45"/>
        <v>3</v>
      </c>
      <c r="G82" s="316">
        <f t="shared" si="45"/>
        <v>0</v>
      </c>
      <c r="H82" s="316">
        <f t="shared" si="45"/>
        <v>0</v>
      </c>
      <c r="I82" s="316" t="str">
        <f t="shared" si="41"/>
        <v>Excellent</v>
      </c>
      <c r="J82" s="366">
        <f t="shared" si="42"/>
        <v>1</v>
      </c>
      <c r="K82" s="423">
        <f t="shared" si="43"/>
        <v>0.1585650787404293</v>
      </c>
      <c r="L82" s="424">
        <f t="shared" si="43"/>
        <v>0.29539452912034764</v>
      </c>
      <c r="M82" s="424">
        <f t="shared" si="43"/>
        <v>0.29539452912034764</v>
      </c>
      <c r="N82" s="424">
        <f t="shared" si="43"/>
        <v>0.29539452912034764</v>
      </c>
      <c r="O82" s="424">
        <f t="shared" si="43"/>
        <v>0.41573522184362866</v>
      </c>
      <c r="P82" s="424">
        <f t="shared" si="43"/>
        <v>0.41573522184362866</v>
      </c>
      <c r="Q82" s="424">
        <f t="shared" si="43"/>
        <v>0.41573522184362866</v>
      </c>
      <c r="R82" s="424">
        <f t="shared" si="43"/>
        <v>0.5937321734741831</v>
      </c>
      <c r="S82" s="424">
        <f t="shared" si="43"/>
        <v>0.49402870804417875</v>
      </c>
      <c r="T82" s="424">
        <f t="shared" si="43"/>
        <v>0.29539452912034764</v>
      </c>
      <c r="U82" s="424">
        <f t="shared" si="43"/>
        <v>0.1585650787404293</v>
      </c>
      <c r="V82" s="424">
        <f t="shared" si="43"/>
        <v>0.29539452912034764</v>
      </c>
      <c r="W82" s="425">
        <f t="shared" si="43"/>
        <v>0.1585650787404293</v>
      </c>
    </row>
    <row r="83" spans="1:23" ht="25.5" hidden="1">
      <c r="A83" s="288" t="s">
        <v>340</v>
      </c>
      <c r="B83" s="316">
        <f t="shared" si="44"/>
        <v>3</v>
      </c>
      <c r="C83" s="316">
        <f t="shared" si="46"/>
        <v>60.256610769563004</v>
      </c>
      <c r="D83" s="316">
        <f t="shared" si="44"/>
        <v>6</v>
      </c>
      <c r="E83" s="316">
        <f t="shared" si="45"/>
        <v>3</v>
      </c>
      <c r="F83" s="316">
        <f t="shared" si="45"/>
        <v>3</v>
      </c>
      <c r="G83" s="316">
        <f t="shared" si="45"/>
        <v>0</v>
      </c>
      <c r="H83" s="316">
        <f t="shared" si="45"/>
        <v>0</v>
      </c>
      <c r="I83" s="316" t="str">
        <f t="shared" si="41"/>
        <v>Fair</v>
      </c>
      <c r="J83" s="366">
        <f t="shared" si="42"/>
        <v>5.771384230796916</v>
      </c>
      <c r="K83" s="423">
        <f t="shared" si="43"/>
        <v>0.9567581491399567</v>
      </c>
      <c r="L83" s="424">
        <f t="shared" si="43"/>
        <v>1.0206765612547197</v>
      </c>
      <c r="M83" s="424">
        <f t="shared" si="43"/>
        <v>1.0206765612547197</v>
      </c>
      <c r="N83" s="424">
        <f t="shared" si="43"/>
        <v>1.0206765612547197</v>
      </c>
      <c r="O83" s="424">
        <f t="shared" si="43"/>
        <v>1.0807537085312346</v>
      </c>
      <c r="P83" s="424">
        <f t="shared" si="43"/>
        <v>1.0807537085312346</v>
      </c>
      <c r="Q83" s="424">
        <f t="shared" si="43"/>
        <v>1.0807537085312346</v>
      </c>
      <c r="R83" s="424">
        <f t="shared" si="43"/>
        <v>1.1762364006581276</v>
      </c>
      <c r="S83" s="424">
        <f t="shared" si="43"/>
        <v>1.1217820770271258</v>
      </c>
      <c r="T83" s="424">
        <f t="shared" si="43"/>
        <v>1.0206765612547197</v>
      </c>
      <c r="U83" s="424">
        <f t="shared" si="43"/>
        <v>0.9567581491399567</v>
      </c>
      <c r="V83" s="424">
        <f t="shared" si="43"/>
        <v>1.02067656125472</v>
      </c>
      <c r="W83" s="425">
        <f t="shared" si="43"/>
        <v>0.9567581491399567</v>
      </c>
    </row>
    <row r="84" spans="1:23" ht="25.5" hidden="1">
      <c r="A84" s="288" t="s">
        <v>341</v>
      </c>
      <c r="B84" s="316">
        <f t="shared" si="44"/>
        <v>3</v>
      </c>
      <c r="C84" s="316">
        <f t="shared" si="46"/>
        <v>60.256610769563004</v>
      </c>
      <c r="D84" s="316">
        <f t="shared" si="44"/>
        <v>6</v>
      </c>
      <c r="E84" s="316">
        <f t="shared" si="45"/>
        <v>3</v>
      </c>
      <c r="F84" s="316">
        <f t="shared" si="45"/>
        <v>3</v>
      </c>
      <c r="G84" s="316">
        <f t="shared" si="45"/>
        <v>0</v>
      </c>
      <c r="H84" s="316">
        <f t="shared" si="45"/>
        <v>0</v>
      </c>
      <c r="I84" s="316" t="str">
        <f t="shared" si="41"/>
        <v>Fair</v>
      </c>
      <c r="J84" s="366">
        <f t="shared" si="42"/>
        <v>5.771384230796916</v>
      </c>
      <c r="K84" s="423">
        <f t="shared" si="43"/>
        <v>0.9567581491399567</v>
      </c>
      <c r="L84" s="424">
        <f t="shared" si="43"/>
        <v>1.0206765612547197</v>
      </c>
      <c r="M84" s="424">
        <f t="shared" si="43"/>
        <v>1.0206765612547197</v>
      </c>
      <c r="N84" s="424">
        <f t="shared" si="43"/>
        <v>1.0206765612547197</v>
      </c>
      <c r="O84" s="424">
        <f t="shared" si="43"/>
        <v>1.0807537085312346</v>
      </c>
      <c r="P84" s="424">
        <f t="shared" si="43"/>
        <v>1.0807537085312346</v>
      </c>
      <c r="Q84" s="424">
        <f t="shared" si="43"/>
        <v>1.0807537085312346</v>
      </c>
      <c r="R84" s="424">
        <f t="shared" si="43"/>
        <v>1.1762364006581276</v>
      </c>
      <c r="S84" s="424">
        <f t="shared" si="43"/>
        <v>1.1217820770271258</v>
      </c>
      <c r="T84" s="424">
        <f t="shared" si="43"/>
        <v>1.0206765612547197</v>
      </c>
      <c r="U84" s="424">
        <f t="shared" si="43"/>
        <v>0.9567581491399567</v>
      </c>
      <c r="V84" s="424">
        <f t="shared" si="43"/>
        <v>1.02067656125472</v>
      </c>
      <c r="W84" s="425">
        <f t="shared" si="43"/>
        <v>0.9567581491399567</v>
      </c>
    </row>
    <row r="85" spans="1:23" ht="12.75" hidden="1">
      <c r="A85" s="288" t="s">
        <v>342</v>
      </c>
      <c r="B85" s="316">
        <f t="shared" si="44"/>
        <v>3</v>
      </c>
      <c r="C85" s="316">
        <f t="shared" si="46"/>
        <v>3</v>
      </c>
      <c r="D85" s="316">
        <f t="shared" si="44"/>
        <v>6</v>
      </c>
      <c r="E85" s="316">
        <f t="shared" si="45"/>
        <v>3</v>
      </c>
      <c r="F85" s="316">
        <f t="shared" si="45"/>
        <v>8.154845485377136</v>
      </c>
      <c r="G85" s="316">
        <f t="shared" si="45"/>
        <v>0</v>
      </c>
      <c r="H85" s="316">
        <f t="shared" si="45"/>
        <v>0</v>
      </c>
      <c r="I85" s="316" t="str">
        <f t="shared" si="41"/>
        <v>Excellent</v>
      </c>
      <c r="J85" s="366">
        <f t="shared" si="42"/>
        <v>1.4295704571147614</v>
      </c>
      <c r="K85" s="423">
        <f t="shared" si="43"/>
        <v>0.26290205827688334</v>
      </c>
      <c r="L85" s="424">
        <f t="shared" si="43"/>
        <v>0.38698031401008803</v>
      </c>
      <c r="M85" s="424">
        <f t="shared" si="43"/>
        <v>0.38698031401008803</v>
      </c>
      <c r="N85" s="424">
        <f t="shared" si="43"/>
        <v>0.38698031401008803</v>
      </c>
      <c r="O85" s="424">
        <f t="shared" si="43"/>
        <v>0.4973486270480482</v>
      </c>
      <c r="P85" s="424">
        <f t="shared" si="43"/>
        <v>0.4973486270480482</v>
      </c>
      <c r="Q85" s="424">
        <f t="shared" si="43"/>
        <v>0.4973486270480482</v>
      </c>
      <c r="R85" s="424">
        <f t="shared" si="43"/>
        <v>0.6624843079417457</v>
      </c>
      <c r="S85" s="424">
        <f t="shared" si="43"/>
        <v>0.5697226819364639</v>
      </c>
      <c r="T85" s="424">
        <f t="shared" si="43"/>
        <v>0.38698031401008803</v>
      </c>
      <c r="U85" s="424">
        <f t="shared" si="43"/>
        <v>0.26290205827688334</v>
      </c>
      <c r="V85" s="424">
        <f t="shared" si="43"/>
        <v>0.38698031401008803</v>
      </c>
      <c r="W85" s="425">
        <f t="shared" si="43"/>
        <v>0.26290205827688334</v>
      </c>
    </row>
    <row r="86" spans="1:23" ht="25.5" hidden="1">
      <c r="A86" s="288" t="s">
        <v>343</v>
      </c>
      <c r="B86" s="316">
        <f t="shared" si="44"/>
        <v>3</v>
      </c>
      <c r="C86" s="316">
        <f t="shared" si="46"/>
        <v>3</v>
      </c>
      <c r="D86" s="316">
        <f t="shared" si="44"/>
        <v>6</v>
      </c>
      <c r="E86" s="316">
        <f t="shared" si="45"/>
        <v>22.16716829679195</v>
      </c>
      <c r="F86" s="316">
        <f t="shared" si="45"/>
        <v>3</v>
      </c>
      <c r="G86" s="316">
        <f t="shared" si="45"/>
        <v>0</v>
      </c>
      <c r="H86" s="316">
        <f t="shared" si="45"/>
        <v>0</v>
      </c>
      <c r="I86" s="316" t="str">
        <f t="shared" si="41"/>
        <v>Good</v>
      </c>
      <c r="J86" s="366">
        <f t="shared" si="42"/>
        <v>2.5972640247326626</v>
      </c>
      <c r="K86" s="426">
        <f t="shared" si="43"/>
        <v>0.5013856411640133</v>
      </c>
      <c r="L86" s="427">
        <f t="shared" si="43"/>
        <v>0.6003932958588172</v>
      </c>
      <c r="M86" s="427">
        <f t="shared" si="43"/>
        <v>0.6003932958588172</v>
      </c>
      <c r="N86" s="427">
        <f t="shared" si="43"/>
        <v>0.6003932958588172</v>
      </c>
      <c r="O86" s="427">
        <f t="shared" si="43"/>
        <v>0.6904754927571021</v>
      </c>
      <c r="P86" s="427">
        <f t="shared" si="43"/>
        <v>0.6904754927571021</v>
      </c>
      <c r="Q86" s="427">
        <f t="shared" si="43"/>
        <v>0.6904754927571021</v>
      </c>
      <c r="R86" s="427">
        <f t="shared" si="43"/>
        <v>0.8285138256474202</v>
      </c>
      <c r="S86" s="427">
        <f t="shared" si="43"/>
        <v>0.7505122923230364</v>
      </c>
      <c r="T86" s="427">
        <f t="shared" si="43"/>
        <v>0.6003932958588172</v>
      </c>
      <c r="U86" s="427">
        <f t="shared" si="43"/>
        <v>0.5013856411640133</v>
      </c>
      <c r="V86" s="427">
        <f t="shared" si="43"/>
        <v>0.6003932958588173</v>
      </c>
      <c r="W86" s="428">
        <f t="shared" si="43"/>
        <v>0.5013856411640133</v>
      </c>
    </row>
    <row r="87" ht="12.75" hidden="1"/>
    <row r="88" spans="1:23" ht="12.75" hidden="1">
      <c r="A88" s="459"/>
      <c r="I88" s="413" t="s">
        <v>370</v>
      </c>
      <c r="J88" s="366"/>
      <c r="K88" s="313">
        <f aca="true" t="shared" si="47" ref="K88:K96">RANK(K78,ScoresForRanks,1)</f>
        <v>1</v>
      </c>
      <c r="N88" s="313">
        <f aca="true" t="shared" si="48" ref="N88:W88">RANK(N78,ScoresForRanks,1)</f>
        <v>19</v>
      </c>
      <c r="O88" s="313">
        <f t="shared" si="48"/>
        <v>42</v>
      </c>
      <c r="P88" s="313">
        <f t="shared" si="48"/>
        <v>42</v>
      </c>
      <c r="Q88" s="313">
        <f t="shared" si="48"/>
        <v>42</v>
      </c>
      <c r="R88" s="313">
        <f t="shared" si="48"/>
        <v>67</v>
      </c>
      <c r="S88" s="313">
        <f t="shared" si="48"/>
        <v>52</v>
      </c>
      <c r="T88" s="313">
        <f t="shared" si="48"/>
        <v>19</v>
      </c>
      <c r="U88" s="313">
        <f t="shared" si="48"/>
        <v>1</v>
      </c>
      <c r="V88" s="313">
        <f t="shared" si="48"/>
        <v>19</v>
      </c>
      <c r="W88" s="313">
        <f t="shared" si="48"/>
        <v>1</v>
      </c>
    </row>
    <row r="89" spans="1:23" ht="12.75" hidden="1">
      <c r="A89" s="459"/>
      <c r="I89" s="413"/>
      <c r="J89" s="366"/>
      <c r="K89" s="313">
        <f t="shared" si="47"/>
        <v>13</v>
      </c>
      <c r="L89" s="313">
        <f>RANK(L79,ScoresForRanks,1)</f>
        <v>32</v>
      </c>
      <c r="M89" s="313">
        <f>RANK(M79,ScoresForRanks,1)</f>
        <v>32</v>
      </c>
      <c r="N89" s="313">
        <f aca="true" t="shared" si="49" ref="N89:W89">RANK(N79,ScoresForRanks,1)</f>
        <v>32</v>
      </c>
      <c r="O89" s="313">
        <f t="shared" si="49"/>
        <v>56</v>
      </c>
      <c r="P89" s="313">
        <f t="shared" si="49"/>
        <v>56</v>
      </c>
      <c r="Q89" s="313">
        <f t="shared" si="49"/>
        <v>56</v>
      </c>
      <c r="R89" s="313">
        <f t="shared" si="49"/>
        <v>73</v>
      </c>
      <c r="S89" s="313">
        <f t="shared" si="49"/>
        <v>65</v>
      </c>
      <c r="T89" s="313">
        <f t="shared" si="49"/>
        <v>32</v>
      </c>
      <c r="U89" s="313">
        <f t="shared" si="49"/>
        <v>13</v>
      </c>
      <c r="V89" s="313">
        <f t="shared" si="49"/>
        <v>32</v>
      </c>
      <c r="W89" s="313">
        <f t="shared" si="49"/>
        <v>13</v>
      </c>
    </row>
    <row r="90" spans="1:23" ht="12.75" hidden="1">
      <c r="A90" s="459"/>
      <c r="I90" s="413"/>
      <c r="J90" s="366"/>
      <c r="K90" s="313">
        <f t="shared" si="47"/>
        <v>1</v>
      </c>
      <c r="L90" s="313">
        <f>RANK(L80,ScoresForRanks,1)</f>
        <v>19</v>
      </c>
      <c r="M90" s="313">
        <f>RANK(M80,ScoresForRanks,1)</f>
        <v>19</v>
      </c>
      <c r="N90" s="313">
        <f aca="true" t="shared" si="50" ref="N90:W90">RANK(N80,ScoresForRanks,1)</f>
        <v>19</v>
      </c>
      <c r="O90" s="313">
        <f t="shared" si="50"/>
        <v>42</v>
      </c>
      <c r="P90" s="313">
        <f t="shared" si="50"/>
        <v>42</v>
      </c>
      <c r="Q90" s="313">
        <f t="shared" si="50"/>
        <v>42</v>
      </c>
      <c r="R90" s="313">
        <f t="shared" si="50"/>
        <v>67</v>
      </c>
      <c r="S90" s="313">
        <f t="shared" si="50"/>
        <v>52</v>
      </c>
      <c r="T90" s="313">
        <f t="shared" si="50"/>
        <v>19</v>
      </c>
      <c r="U90" s="313">
        <f t="shared" si="50"/>
        <v>1</v>
      </c>
      <c r="V90" s="313">
        <f t="shared" si="50"/>
        <v>19</v>
      </c>
      <c r="W90" s="313">
        <f t="shared" si="50"/>
        <v>1</v>
      </c>
    </row>
    <row r="91" spans="1:23" ht="12.75" hidden="1">
      <c r="A91" s="459"/>
      <c r="I91" s="413"/>
      <c r="J91" s="366"/>
      <c r="K91" s="313">
        <f t="shared" si="47"/>
        <v>1</v>
      </c>
      <c r="Q91" s="313">
        <f aca="true" t="shared" si="51" ref="Q91:W96">RANK(Q81,ScoresForRanks,1)</f>
        <v>42</v>
      </c>
      <c r="R91" s="313">
        <f t="shared" si="51"/>
        <v>67</v>
      </c>
      <c r="S91" s="313">
        <f t="shared" si="51"/>
        <v>52</v>
      </c>
      <c r="T91" s="313">
        <f t="shared" si="51"/>
        <v>19</v>
      </c>
      <c r="U91" s="313">
        <f t="shared" si="51"/>
        <v>1</v>
      </c>
      <c r="V91" s="313">
        <f t="shared" si="51"/>
        <v>19</v>
      </c>
      <c r="W91" s="313">
        <f t="shared" si="51"/>
        <v>1</v>
      </c>
    </row>
    <row r="92" spans="1:23" ht="12.75" hidden="1">
      <c r="A92" s="459"/>
      <c r="I92" s="413"/>
      <c r="J92" s="366"/>
      <c r="K92" s="313">
        <f t="shared" si="47"/>
        <v>1</v>
      </c>
      <c r="N92" s="313">
        <f>RANK(N82,ScoresForRanks,1)</f>
        <v>19</v>
      </c>
      <c r="O92" s="313">
        <f>RANK(O82,ScoresForRanks,1)</f>
        <v>42</v>
      </c>
      <c r="P92" s="313">
        <f>RANK(P82,ScoresForRanks,1)</f>
        <v>42</v>
      </c>
      <c r="Q92" s="313">
        <f t="shared" si="51"/>
        <v>42</v>
      </c>
      <c r="R92" s="313">
        <f t="shared" si="51"/>
        <v>67</v>
      </c>
      <c r="S92" s="313">
        <f t="shared" si="51"/>
        <v>52</v>
      </c>
      <c r="T92" s="313">
        <f t="shared" si="51"/>
        <v>19</v>
      </c>
      <c r="U92" s="313">
        <f t="shared" si="51"/>
        <v>1</v>
      </c>
      <c r="V92" s="313">
        <f t="shared" si="51"/>
        <v>19</v>
      </c>
      <c r="W92" s="313">
        <f t="shared" si="51"/>
        <v>1</v>
      </c>
    </row>
    <row r="93" spans="1:23" ht="12.75" hidden="1">
      <c r="A93" s="459"/>
      <c r="I93" s="413"/>
      <c r="J93" s="366"/>
      <c r="K93" s="313">
        <f t="shared" si="47"/>
        <v>78</v>
      </c>
      <c r="Q93" s="313">
        <f t="shared" si="51"/>
        <v>88</v>
      </c>
      <c r="R93" s="313">
        <f t="shared" si="51"/>
        <v>92</v>
      </c>
      <c r="S93" s="313">
        <f t="shared" si="51"/>
        <v>90</v>
      </c>
      <c r="T93" s="313">
        <f t="shared" si="51"/>
        <v>84</v>
      </c>
      <c r="U93" s="313">
        <f t="shared" si="51"/>
        <v>78</v>
      </c>
      <c r="V93" s="313">
        <f t="shared" si="51"/>
        <v>86</v>
      </c>
      <c r="W93" s="313">
        <f t="shared" si="51"/>
        <v>78</v>
      </c>
    </row>
    <row r="94" spans="1:23" ht="12.75" hidden="1">
      <c r="A94" s="459"/>
      <c r="I94" s="413"/>
      <c r="J94" s="366"/>
      <c r="K94" s="313">
        <f t="shared" si="47"/>
        <v>78</v>
      </c>
      <c r="Q94" s="313">
        <f t="shared" si="51"/>
        <v>88</v>
      </c>
      <c r="R94" s="313">
        <f t="shared" si="51"/>
        <v>92</v>
      </c>
      <c r="S94" s="313">
        <f t="shared" si="51"/>
        <v>90</v>
      </c>
      <c r="T94" s="313">
        <f t="shared" si="51"/>
        <v>84</v>
      </c>
      <c r="U94" s="313">
        <f t="shared" si="51"/>
        <v>78</v>
      </c>
      <c r="V94" s="313">
        <f t="shared" si="51"/>
        <v>86</v>
      </c>
      <c r="W94" s="313">
        <f t="shared" si="51"/>
        <v>78</v>
      </c>
    </row>
    <row r="95" spans="1:23" ht="12.75" hidden="1">
      <c r="A95" s="459"/>
      <c r="I95" s="413"/>
      <c r="J95" s="366"/>
      <c r="K95" s="313">
        <f t="shared" si="47"/>
        <v>13</v>
      </c>
      <c r="L95" s="313">
        <f>RANK(L85,ScoresForRanks,1)</f>
        <v>32</v>
      </c>
      <c r="M95" s="313">
        <f>RANK(M85,ScoresForRanks,1)</f>
        <v>32</v>
      </c>
      <c r="N95" s="313">
        <f>RANK(N85,ScoresForRanks,1)</f>
        <v>32</v>
      </c>
      <c r="O95" s="313">
        <f>RANK(O85,ScoresForRanks,1)</f>
        <v>56</v>
      </c>
      <c r="P95" s="313">
        <f>RANK(P85,ScoresForRanks,1)</f>
        <v>56</v>
      </c>
      <c r="Q95" s="313">
        <f t="shared" si="51"/>
        <v>56</v>
      </c>
      <c r="R95" s="313">
        <f t="shared" si="51"/>
        <v>73</v>
      </c>
      <c r="S95" s="313">
        <f t="shared" si="51"/>
        <v>65</v>
      </c>
      <c r="T95" s="313">
        <f t="shared" si="51"/>
        <v>32</v>
      </c>
      <c r="U95" s="313">
        <f t="shared" si="51"/>
        <v>13</v>
      </c>
      <c r="V95" s="313">
        <f t="shared" si="51"/>
        <v>32</v>
      </c>
      <c r="W95" s="313">
        <f t="shared" si="51"/>
        <v>13</v>
      </c>
    </row>
    <row r="96" spans="1:23" ht="12.75" hidden="1">
      <c r="A96" s="459"/>
      <c r="I96" s="413"/>
      <c r="J96" s="366"/>
      <c r="K96" s="313">
        <f t="shared" si="47"/>
        <v>62</v>
      </c>
      <c r="Q96" s="313">
        <f t="shared" si="51"/>
        <v>75</v>
      </c>
      <c r="R96" s="313">
        <f t="shared" si="51"/>
        <v>77</v>
      </c>
      <c r="S96" s="313">
        <f t="shared" si="51"/>
        <v>76</v>
      </c>
      <c r="T96" s="313">
        <f t="shared" si="51"/>
        <v>71</v>
      </c>
      <c r="U96" s="313">
        <f t="shared" si="51"/>
        <v>62</v>
      </c>
      <c r="V96" s="313">
        <f t="shared" si="51"/>
        <v>72</v>
      </c>
      <c r="W96" s="313">
        <f t="shared" si="51"/>
        <v>62</v>
      </c>
    </row>
    <row r="97" ht="12.75" hidden="1">
      <c r="J97" s="366"/>
    </row>
    <row r="98" ht="12.75" hidden="1"/>
    <row r="99" spans="9:23" ht="12.75" hidden="1">
      <c r="I99" s="413" t="s">
        <v>379</v>
      </c>
      <c r="K99" s="313">
        <f aca="true" t="shared" si="52" ref="K99:W99">LN($J78*Implementability+K$52*Amenability_Wt+K$58*Effectiveness)</f>
        <v>0.1585650787404293</v>
      </c>
      <c r="L99" s="313">
        <f t="shared" si="52"/>
        <v>0.29539452912034764</v>
      </c>
      <c r="M99" s="313">
        <f t="shared" si="52"/>
        <v>0.29539452912034764</v>
      </c>
      <c r="N99" s="313">
        <f t="shared" si="52"/>
        <v>0.29539452912034764</v>
      </c>
      <c r="O99" s="313">
        <f t="shared" si="52"/>
        <v>0.41573522184362866</v>
      </c>
      <c r="P99" s="313">
        <f t="shared" si="52"/>
        <v>0.41573522184362866</v>
      </c>
      <c r="Q99" s="313">
        <f t="shared" si="52"/>
        <v>0.41573522184362866</v>
      </c>
      <c r="R99" s="313">
        <f t="shared" si="52"/>
        <v>0.5937321734741831</v>
      </c>
      <c r="S99" s="313">
        <f t="shared" si="52"/>
        <v>0.49402870804417875</v>
      </c>
      <c r="T99" s="313">
        <f t="shared" si="52"/>
        <v>0.29539452912034764</v>
      </c>
      <c r="U99" s="313">
        <f t="shared" si="52"/>
        <v>0.1585650787404293</v>
      </c>
      <c r="V99" s="313">
        <f t="shared" si="52"/>
        <v>0.29539452912034764</v>
      </c>
      <c r="W99" s="313">
        <f t="shared" si="52"/>
        <v>0.1585650787404293</v>
      </c>
    </row>
    <row r="100" spans="9:23" ht="12.75" hidden="1">
      <c r="I100" s="413"/>
      <c r="K100" s="313">
        <f aca="true" t="shared" si="53" ref="K100:W100">LN($J79*Implementability+K$52*Amenability_Wt+K$58*Effectiveness)</f>
        <v>0.26290205827688334</v>
      </c>
      <c r="L100" s="313">
        <f t="shared" si="53"/>
        <v>0.38698031401008803</v>
      </c>
      <c r="M100" s="313">
        <f t="shared" si="53"/>
        <v>0.38698031401008803</v>
      </c>
      <c r="N100" s="313">
        <f t="shared" si="53"/>
        <v>0.38698031401008803</v>
      </c>
      <c r="O100" s="313">
        <f t="shared" si="53"/>
        <v>0.4973486270480482</v>
      </c>
      <c r="P100" s="313">
        <f t="shared" si="53"/>
        <v>0.4973486270480482</v>
      </c>
      <c r="Q100" s="313">
        <f t="shared" si="53"/>
        <v>0.4973486270480482</v>
      </c>
      <c r="R100" s="313">
        <f t="shared" si="53"/>
        <v>0.6624843079417457</v>
      </c>
      <c r="S100" s="313">
        <f t="shared" si="53"/>
        <v>0.5697226819364639</v>
      </c>
      <c r="T100" s="313">
        <f t="shared" si="53"/>
        <v>0.38698031401008803</v>
      </c>
      <c r="U100" s="313">
        <f t="shared" si="53"/>
        <v>0.26290205827688334</v>
      </c>
      <c r="V100" s="313">
        <f t="shared" si="53"/>
        <v>0.38698031401008803</v>
      </c>
      <c r="W100" s="313">
        <f t="shared" si="53"/>
        <v>0.26290205827688334</v>
      </c>
    </row>
    <row r="101" spans="9:23" ht="12.75" hidden="1">
      <c r="I101" s="413"/>
      <c r="K101" s="313">
        <f aca="true" t="shared" si="54" ref="K101:W101">LN($J80*Implementability+K$52*Amenability_Wt+K$58*Effectiveness)</f>
        <v>0.1585650787404293</v>
      </c>
      <c r="L101" s="313">
        <f t="shared" si="54"/>
        <v>0.29539452912034764</v>
      </c>
      <c r="M101" s="313">
        <f t="shared" si="54"/>
        <v>0.29539452912034764</v>
      </c>
      <c r="N101" s="313">
        <f t="shared" si="54"/>
        <v>0.29539452912034764</v>
      </c>
      <c r="O101" s="313">
        <f t="shared" si="54"/>
        <v>0.41573522184362866</v>
      </c>
      <c r="P101" s="313">
        <f t="shared" si="54"/>
        <v>0.41573522184362866</v>
      </c>
      <c r="Q101" s="313">
        <f t="shared" si="54"/>
        <v>0.41573522184362866</v>
      </c>
      <c r="R101" s="313">
        <f t="shared" si="54"/>
        <v>0.5937321734741831</v>
      </c>
      <c r="S101" s="313">
        <f t="shared" si="54"/>
        <v>0.49402870804417875</v>
      </c>
      <c r="T101" s="313">
        <f t="shared" si="54"/>
        <v>0.29539452912034764</v>
      </c>
      <c r="U101" s="313">
        <f t="shared" si="54"/>
        <v>0.1585650787404293</v>
      </c>
      <c r="V101" s="313">
        <f t="shared" si="54"/>
        <v>0.29539452912034764</v>
      </c>
      <c r="W101" s="313">
        <f t="shared" si="54"/>
        <v>0.1585650787404293</v>
      </c>
    </row>
    <row r="102" spans="9:23" ht="12.75" hidden="1">
      <c r="I102" s="413"/>
      <c r="K102" s="313">
        <f aca="true" t="shared" si="55" ref="K102:W102">LN($J81*Implementability+K$52*Amenability_Wt+K$58*Effectiveness)</f>
        <v>0.1585650787404293</v>
      </c>
      <c r="L102" s="313">
        <f t="shared" si="55"/>
        <v>0.29539452912034764</v>
      </c>
      <c r="M102" s="313">
        <f t="shared" si="55"/>
        <v>0.29539452912034764</v>
      </c>
      <c r="N102" s="313">
        <f t="shared" si="55"/>
        <v>0.29539452912034764</v>
      </c>
      <c r="O102" s="313">
        <f t="shared" si="55"/>
        <v>0.41573522184362866</v>
      </c>
      <c r="P102" s="313">
        <f t="shared" si="55"/>
        <v>0.41573522184362866</v>
      </c>
      <c r="Q102" s="313">
        <f t="shared" si="55"/>
        <v>0.41573522184362866</v>
      </c>
      <c r="R102" s="313">
        <f t="shared" si="55"/>
        <v>0.5937321734741831</v>
      </c>
      <c r="S102" s="313">
        <f t="shared" si="55"/>
        <v>0.49402870804417875</v>
      </c>
      <c r="T102" s="313">
        <f t="shared" si="55"/>
        <v>0.29539452912034764</v>
      </c>
      <c r="U102" s="313">
        <f t="shared" si="55"/>
        <v>0.1585650787404293</v>
      </c>
      <c r="V102" s="313">
        <f t="shared" si="55"/>
        <v>0.29539452912034764</v>
      </c>
      <c r="W102" s="313">
        <f t="shared" si="55"/>
        <v>0.1585650787404293</v>
      </c>
    </row>
    <row r="103" spans="9:23" ht="12.75" hidden="1">
      <c r="I103" s="413"/>
      <c r="K103" s="313">
        <f aca="true" t="shared" si="56" ref="K103:W103">LN($J82*Implementability+K$52*Amenability_Wt+K$58*Effectiveness)</f>
        <v>0.1585650787404293</v>
      </c>
      <c r="L103" s="313">
        <f t="shared" si="56"/>
        <v>0.29539452912034764</v>
      </c>
      <c r="M103" s="313">
        <f t="shared" si="56"/>
        <v>0.29539452912034764</v>
      </c>
      <c r="N103" s="313">
        <f t="shared" si="56"/>
        <v>0.29539452912034764</v>
      </c>
      <c r="O103" s="313">
        <f t="shared" si="56"/>
        <v>0.41573522184362866</v>
      </c>
      <c r="P103" s="313">
        <f t="shared" si="56"/>
        <v>0.41573522184362866</v>
      </c>
      <c r="Q103" s="313">
        <f t="shared" si="56"/>
        <v>0.41573522184362866</v>
      </c>
      <c r="R103" s="313">
        <f t="shared" si="56"/>
        <v>0.5937321734741831</v>
      </c>
      <c r="S103" s="313">
        <f t="shared" si="56"/>
        <v>0.49402870804417875</v>
      </c>
      <c r="T103" s="313">
        <f t="shared" si="56"/>
        <v>0.29539452912034764</v>
      </c>
      <c r="U103" s="313">
        <f t="shared" si="56"/>
        <v>0.1585650787404293</v>
      </c>
      <c r="V103" s="313">
        <f t="shared" si="56"/>
        <v>0.29539452912034764</v>
      </c>
      <c r="W103" s="313">
        <f t="shared" si="56"/>
        <v>0.1585650787404293</v>
      </c>
    </row>
    <row r="104" spans="9:23" ht="12.75" hidden="1">
      <c r="I104" s="413"/>
      <c r="K104" s="313">
        <f aca="true" t="shared" si="57" ref="K104:W104">LN($J83*Implementability+K$52*Amenability_Wt+K$58*Effectiveness)</f>
        <v>0.9567581491399567</v>
      </c>
      <c r="L104" s="313">
        <f t="shared" si="57"/>
        <v>1.0206765612547197</v>
      </c>
      <c r="M104" s="313">
        <f t="shared" si="57"/>
        <v>1.0206765612547197</v>
      </c>
      <c r="N104" s="313">
        <f t="shared" si="57"/>
        <v>1.0206765612547197</v>
      </c>
      <c r="O104" s="313">
        <f t="shared" si="57"/>
        <v>1.0807537085312346</v>
      </c>
      <c r="P104" s="313">
        <f t="shared" si="57"/>
        <v>1.0807537085312346</v>
      </c>
      <c r="Q104" s="313">
        <f t="shared" si="57"/>
        <v>1.0807537085312346</v>
      </c>
      <c r="R104" s="313">
        <f t="shared" si="57"/>
        <v>1.1762364006581276</v>
      </c>
      <c r="S104" s="313">
        <f t="shared" si="57"/>
        <v>1.1217820770271258</v>
      </c>
      <c r="T104" s="313">
        <f t="shared" si="57"/>
        <v>1.0206765612547197</v>
      </c>
      <c r="U104" s="313">
        <f t="shared" si="57"/>
        <v>0.9567581491399567</v>
      </c>
      <c r="V104" s="313">
        <f t="shared" si="57"/>
        <v>1.02067656125472</v>
      </c>
      <c r="W104" s="313">
        <f t="shared" si="57"/>
        <v>0.9567581491399567</v>
      </c>
    </row>
    <row r="105" spans="9:23" ht="12.75" hidden="1">
      <c r="I105" s="413"/>
      <c r="K105" s="313">
        <f aca="true" t="shared" si="58" ref="K105:W105">LN($J84*Implementability+K$52*Amenability_Wt+K$58*Effectiveness)</f>
        <v>0.9567581491399567</v>
      </c>
      <c r="L105" s="313">
        <f t="shared" si="58"/>
        <v>1.0206765612547197</v>
      </c>
      <c r="M105" s="313">
        <f t="shared" si="58"/>
        <v>1.0206765612547197</v>
      </c>
      <c r="N105" s="313">
        <f t="shared" si="58"/>
        <v>1.0206765612547197</v>
      </c>
      <c r="O105" s="313">
        <f t="shared" si="58"/>
        <v>1.0807537085312346</v>
      </c>
      <c r="P105" s="313">
        <f t="shared" si="58"/>
        <v>1.0807537085312346</v>
      </c>
      <c r="Q105" s="313">
        <f t="shared" si="58"/>
        <v>1.0807537085312346</v>
      </c>
      <c r="R105" s="313">
        <f t="shared" si="58"/>
        <v>1.1762364006581276</v>
      </c>
      <c r="S105" s="313">
        <f t="shared" si="58"/>
        <v>1.1217820770271258</v>
      </c>
      <c r="T105" s="313">
        <f t="shared" si="58"/>
        <v>1.0206765612547197</v>
      </c>
      <c r="U105" s="313">
        <f t="shared" si="58"/>
        <v>0.9567581491399567</v>
      </c>
      <c r="V105" s="313">
        <f t="shared" si="58"/>
        <v>1.02067656125472</v>
      </c>
      <c r="W105" s="313">
        <f t="shared" si="58"/>
        <v>0.9567581491399567</v>
      </c>
    </row>
    <row r="106" spans="9:23" ht="12.75" hidden="1">
      <c r="I106" s="413"/>
      <c r="K106" s="313">
        <f aca="true" t="shared" si="59" ref="K106:W106">LN($J85*Implementability+K$52*Amenability_Wt+K$58*Effectiveness)</f>
        <v>0.26290205827688334</v>
      </c>
      <c r="L106" s="313">
        <f t="shared" si="59"/>
        <v>0.38698031401008803</v>
      </c>
      <c r="M106" s="313">
        <f t="shared" si="59"/>
        <v>0.38698031401008803</v>
      </c>
      <c r="N106" s="313">
        <f t="shared" si="59"/>
        <v>0.38698031401008803</v>
      </c>
      <c r="O106" s="313">
        <f t="shared" si="59"/>
        <v>0.4973486270480482</v>
      </c>
      <c r="P106" s="313">
        <f t="shared" si="59"/>
        <v>0.4973486270480482</v>
      </c>
      <c r="Q106" s="313">
        <f t="shared" si="59"/>
        <v>0.4973486270480482</v>
      </c>
      <c r="R106" s="313">
        <f t="shared" si="59"/>
        <v>0.6624843079417457</v>
      </c>
      <c r="S106" s="313">
        <f t="shared" si="59"/>
        <v>0.5697226819364639</v>
      </c>
      <c r="T106" s="313">
        <f t="shared" si="59"/>
        <v>0.38698031401008803</v>
      </c>
      <c r="U106" s="313">
        <f t="shared" si="59"/>
        <v>0.26290205827688334</v>
      </c>
      <c r="V106" s="313">
        <f t="shared" si="59"/>
        <v>0.38698031401008803</v>
      </c>
      <c r="W106" s="313">
        <f t="shared" si="59"/>
        <v>0.26290205827688334</v>
      </c>
    </row>
    <row r="107" spans="9:23" ht="12.75" hidden="1">
      <c r="I107" s="413"/>
      <c r="K107" s="313">
        <f aca="true" t="shared" si="60" ref="K107:W107">LN($J86*Implementability+K$52*Amenability_Wt+K$58*Effectiveness)</f>
        <v>0.5013856411640133</v>
      </c>
      <c r="L107" s="313">
        <f t="shared" si="60"/>
        <v>0.6003932958588172</v>
      </c>
      <c r="M107" s="313">
        <f t="shared" si="60"/>
        <v>0.6003932958588172</v>
      </c>
      <c r="N107" s="313">
        <f t="shared" si="60"/>
        <v>0.6003932958588172</v>
      </c>
      <c r="O107" s="313">
        <f t="shared" si="60"/>
        <v>0.6904754927571021</v>
      </c>
      <c r="P107" s="313">
        <f t="shared" si="60"/>
        <v>0.6904754927571021</v>
      </c>
      <c r="Q107" s="313">
        <f t="shared" si="60"/>
        <v>0.6904754927571021</v>
      </c>
      <c r="R107" s="313">
        <f t="shared" si="60"/>
        <v>0.8285138256474202</v>
      </c>
      <c r="S107" s="313">
        <f t="shared" si="60"/>
        <v>0.7505122923230364</v>
      </c>
      <c r="T107" s="313">
        <f t="shared" si="60"/>
        <v>0.6003932958588172</v>
      </c>
      <c r="U107" s="313">
        <f t="shared" si="60"/>
        <v>0.5013856411640133</v>
      </c>
      <c r="V107" s="313">
        <f t="shared" si="60"/>
        <v>0.6003932958588173</v>
      </c>
      <c r="W107" s="313">
        <f t="shared" si="60"/>
        <v>0.5013856411640133</v>
      </c>
    </row>
  </sheetData>
  <sheetProtection sheet="1" objects="1" scenarios="1"/>
  <mergeCells count="25">
    <mergeCell ref="L72:M72"/>
    <mergeCell ref="I71:J71"/>
    <mergeCell ref="L71:M71"/>
    <mergeCell ref="H9:I9"/>
    <mergeCell ref="C28:J28"/>
    <mergeCell ref="L70:M70"/>
    <mergeCell ref="K13:W14"/>
    <mergeCell ref="K25:W25"/>
    <mergeCell ref="K27:W27"/>
    <mergeCell ref="K26:T26"/>
    <mergeCell ref="K1:K2"/>
    <mergeCell ref="L1:M1"/>
    <mergeCell ref="N1:P1"/>
    <mergeCell ref="R1:W1"/>
    <mergeCell ref="Q1:Q2"/>
    <mergeCell ref="J1:J2"/>
    <mergeCell ref="H11:I11"/>
    <mergeCell ref="I1:I2"/>
    <mergeCell ref="H7:I7"/>
    <mergeCell ref="H3:I3"/>
    <mergeCell ref="H10:I10"/>
    <mergeCell ref="H5:I5"/>
    <mergeCell ref="H4:I4"/>
    <mergeCell ref="H6:I6"/>
    <mergeCell ref="H8:I8"/>
  </mergeCells>
  <conditionalFormatting sqref="K88:W96">
    <cfRule type="cellIs" priority="1" dxfId="2" operator="lessThanOrEqual" stopIfTrue="1">
      <formula>30</formula>
    </cfRule>
    <cfRule type="cellIs" priority="2" dxfId="1" operator="between" stopIfTrue="1">
      <formula>31</formula>
      <formula>60</formula>
    </cfRule>
    <cfRule type="cellIs" priority="3" dxfId="0" operator="between" stopIfTrue="1">
      <formula>61</formula>
      <formula>90</formula>
    </cfRule>
  </conditionalFormatting>
  <dataValidations count="1">
    <dataValidation type="list" allowBlank="1" showInputMessage="1" showErrorMessage="1" sqref="B14:H14 J6:J10 J3:J4">
      <formula1>"0, 1, 2, 3, 4, 5"</formula1>
    </dataValidation>
  </dataValidations>
  <printOptions/>
  <pageMargins left="0.75" right="0.75" top="1" bottom="1" header="0.5" footer="0.5"/>
  <pageSetup fitToHeight="1" fitToWidth="1" horizontalDpi="600" verticalDpi="600" orientation="landscape" paperSize="17" scale="30" r:id="rId2"/>
  <headerFooter alignWithMargins="0">
    <oddHeader>&amp;C&amp;"Arial,Regular"&amp;8Attachment 5:  ISCO Screening Tool</oddHeader>
    <oddFooter>&amp;L&amp;"Arial,Regular"&amp;8&amp;A
&amp;D, &amp;T&amp;C&amp;"Arial,Regular"&amp;8Page &amp;P of &amp;N</oddFooter>
  </headerFooter>
  <drawing r:id="rId1"/>
</worksheet>
</file>

<file path=xl/worksheets/sheet2.xml><?xml version="1.0" encoding="utf-8"?>
<worksheet xmlns="http://schemas.openxmlformats.org/spreadsheetml/2006/main" xmlns:r="http://schemas.openxmlformats.org/officeDocument/2006/relationships">
  <sheetPr codeName="Sheet7">
    <pageSetUpPr fitToPage="1"/>
  </sheetPr>
  <dimension ref="A1:S107"/>
  <sheetViews>
    <sheetView zoomScale="60" zoomScaleNormal="60" zoomScalePageLayoutView="0" workbookViewId="0" topLeftCell="A1">
      <pane xSplit="3" ySplit="1" topLeftCell="I5" activePane="bottomRight" state="frozen"/>
      <selection pane="topLeft" activeCell="A1" sqref="A1"/>
      <selection pane="topRight" activeCell="D1" sqref="D1"/>
      <selection pane="bottomLeft" activeCell="A2" sqref="A2"/>
      <selection pane="bottomRight" activeCell="K7" sqref="K7"/>
    </sheetView>
  </sheetViews>
  <sheetFormatPr defaultColWidth="8.75390625" defaultRowHeight="15.75"/>
  <cols>
    <col min="1" max="2" width="45.50390625" style="267" customWidth="1"/>
    <col min="3" max="3" width="5.625" style="267" customWidth="1"/>
    <col min="4" max="4" width="20.625" style="267" customWidth="1"/>
    <col min="5" max="6" width="20.625" style="267" hidden="1" customWidth="1"/>
    <col min="7" max="10" width="20.625" style="267" customWidth="1"/>
    <col min="11" max="11" width="32.875" style="267" customWidth="1"/>
    <col min="12" max="12" width="32.25390625" style="267" customWidth="1"/>
    <col min="13" max="13" width="22.00390625" style="267" customWidth="1"/>
    <col min="14" max="14" width="21.75390625" style="267" customWidth="1"/>
    <col min="15" max="15" width="19.125" style="226" customWidth="1"/>
    <col min="16" max="16" width="8.75390625" style="226" hidden="1" customWidth="1"/>
    <col min="17" max="16384" width="8.75390625" style="226" customWidth="1"/>
  </cols>
  <sheetData>
    <row r="1" spans="1:16" ht="60.75" thickBot="1">
      <c r="A1" s="223" t="s">
        <v>207</v>
      </c>
      <c r="B1" s="224"/>
      <c r="C1" s="224"/>
      <c r="D1" s="225" t="s">
        <v>305</v>
      </c>
      <c r="E1" s="225" t="s">
        <v>121</v>
      </c>
      <c r="F1" s="225" t="s">
        <v>122</v>
      </c>
      <c r="G1" s="225" t="s">
        <v>123</v>
      </c>
      <c r="H1" s="225" t="s">
        <v>246</v>
      </c>
      <c r="I1" s="225" t="s">
        <v>120</v>
      </c>
      <c r="J1" s="225" t="s">
        <v>269</v>
      </c>
      <c r="K1" s="225" t="s">
        <v>128</v>
      </c>
      <c r="L1" s="225" t="s">
        <v>127</v>
      </c>
      <c r="M1" s="225" t="s">
        <v>126</v>
      </c>
      <c r="N1" s="225" t="s">
        <v>129</v>
      </c>
      <c r="P1" s="226">
        <f>COUNTA(D1:N1)</f>
        <v>11</v>
      </c>
    </row>
    <row r="2" spans="1:16" ht="15.75" customHeight="1">
      <c r="A2" s="227" t="s">
        <v>271</v>
      </c>
      <c r="B2" s="228"/>
      <c r="C2" s="228"/>
      <c r="D2" s="229"/>
      <c r="E2" s="229"/>
      <c r="F2" s="229"/>
      <c r="G2" s="229"/>
      <c r="H2" s="229"/>
      <c r="I2" s="229"/>
      <c r="J2" s="229"/>
      <c r="K2" s="229"/>
      <c r="L2" s="229"/>
      <c r="M2" s="229"/>
      <c r="N2" s="230"/>
      <c r="P2" s="226">
        <f>SUBTOTAL(103,D1:N1)</f>
        <v>11</v>
      </c>
    </row>
    <row r="3" spans="1:14" ht="15.75" customHeight="1">
      <c r="A3" s="231" t="s">
        <v>92</v>
      </c>
      <c r="B3" s="376"/>
      <c r="C3" s="11"/>
      <c r="D3" s="43" t="s">
        <v>151</v>
      </c>
      <c r="E3" s="43" t="s">
        <v>151</v>
      </c>
      <c r="F3" s="43" t="s">
        <v>151</v>
      </c>
      <c r="G3" s="43" t="s">
        <v>151</v>
      </c>
      <c r="H3" s="43" t="s">
        <v>151</v>
      </c>
      <c r="I3" s="43" t="s">
        <v>272</v>
      </c>
      <c r="J3" s="43" t="s">
        <v>272</v>
      </c>
      <c r="K3" s="43" t="s">
        <v>151</v>
      </c>
      <c r="L3" s="43" t="s">
        <v>151</v>
      </c>
      <c r="M3" s="43" t="s">
        <v>151</v>
      </c>
      <c r="N3" s="232" t="s">
        <v>151</v>
      </c>
    </row>
    <row r="4" spans="1:14" ht="15.75" customHeight="1" thickBot="1">
      <c r="A4" s="233" t="s">
        <v>28</v>
      </c>
      <c r="B4" s="377"/>
      <c r="C4" s="234"/>
      <c r="D4" s="236" t="s">
        <v>151</v>
      </c>
      <c r="E4" s="236" t="s">
        <v>151</v>
      </c>
      <c r="F4" s="236" t="s">
        <v>151</v>
      </c>
      <c r="G4" s="235" t="s">
        <v>150</v>
      </c>
      <c r="H4" s="236" t="s">
        <v>151</v>
      </c>
      <c r="I4" s="237" t="s">
        <v>147</v>
      </c>
      <c r="J4" s="237" t="s">
        <v>147</v>
      </c>
      <c r="K4" s="236" t="s">
        <v>151</v>
      </c>
      <c r="L4" s="236" t="s">
        <v>151</v>
      </c>
      <c r="M4" s="249" t="s">
        <v>149</v>
      </c>
      <c r="N4" s="239" t="s">
        <v>150</v>
      </c>
    </row>
    <row r="5" spans="1:14" ht="15.75" customHeight="1">
      <c r="A5" s="368" t="s">
        <v>61</v>
      </c>
      <c r="B5" s="373"/>
      <c r="C5" s="240"/>
      <c r="D5" s="241"/>
      <c r="E5" s="241"/>
      <c r="F5" s="241"/>
      <c r="G5" s="241"/>
      <c r="H5" s="241"/>
      <c r="I5" s="241"/>
      <c r="J5" s="241"/>
      <c r="K5" s="241"/>
      <c r="L5" s="241"/>
      <c r="M5" s="241"/>
      <c r="N5" s="242"/>
    </row>
    <row r="6" spans="1:14" ht="15.75" customHeight="1">
      <c r="A6" s="243" t="s">
        <v>62</v>
      </c>
      <c r="B6" s="378"/>
      <c r="C6" s="244"/>
      <c r="D6" s="245"/>
      <c r="E6" s="245"/>
      <c r="F6" s="245"/>
      <c r="G6" s="245"/>
      <c r="H6" s="245"/>
      <c r="I6" s="245"/>
      <c r="J6" s="245"/>
      <c r="K6" s="245"/>
      <c r="L6" s="245"/>
      <c r="M6" s="245"/>
      <c r="N6" s="246"/>
    </row>
    <row r="7" spans="1:14" ht="15.75" customHeight="1" thickBot="1">
      <c r="A7" s="231" t="s">
        <v>273</v>
      </c>
      <c r="B7" s="379"/>
      <c r="C7" s="11"/>
      <c r="D7" s="42" t="s">
        <v>150</v>
      </c>
      <c r="E7" s="42" t="s">
        <v>150</v>
      </c>
      <c r="F7" s="41" t="s">
        <v>149</v>
      </c>
      <c r="G7" s="42" t="s">
        <v>150</v>
      </c>
      <c r="H7" s="41" t="s">
        <v>149</v>
      </c>
      <c r="I7" s="237" t="s">
        <v>147</v>
      </c>
      <c r="J7" s="237" t="s">
        <v>147</v>
      </c>
      <c r="K7" s="42" t="s">
        <v>150</v>
      </c>
      <c r="L7" s="42" t="s">
        <v>150</v>
      </c>
      <c r="M7" s="41" t="s">
        <v>149</v>
      </c>
      <c r="N7" s="247" t="s">
        <v>150</v>
      </c>
    </row>
    <row r="8" spans="1:14" ht="15.75" customHeight="1" thickBot="1">
      <c r="A8" s="231" t="s">
        <v>63</v>
      </c>
      <c r="B8" s="379"/>
      <c r="C8" s="11"/>
      <c r="D8" s="41" t="s">
        <v>149</v>
      </c>
      <c r="E8" s="41" t="s">
        <v>149</v>
      </c>
      <c r="F8" s="40" t="s">
        <v>148</v>
      </c>
      <c r="G8" s="40" t="s">
        <v>148</v>
      </c>
      <c r="H8" s="40" t="s">
        <v>148</v>
      </c>
      <c r="I8" s="237" t="s">
        <v>147</v>
      </c>
      <c r="J8" s="237" t="s">
        <v>147</v>
      </c>
      <c r="K8" s="42" t="s">
        <v>150</v>
      </c>
      <c r="L8" s="42" t="s">
        <v>150</v>
      </c>
      <c r="M8" s="39" t="s">
        <v>147</v>
      </c>
      <c r="N8" s="248" t="s">
        <v>148</v>
      </c>
    </row>
    <row r="9" spans="1:14" ht="15.75" customHeight="1">
      <c r="A9" s="243" t="s">
        <v>64</v>
      </c>
      <c r="B9" s="378"/>
      <c r="C9" s="244"/>
      <c r="D9" s="245"/>
      <c r="E9" s="245"/>
      <c r="F9" s="245"/>
      <c r="G9" s="245"/>
      <c r="H9" s="245"/>
      <c r="I9" s="245"/>
      <c r="J9" s="245"/>
      <c r="K9" s="245"/>
      <c r="L9" s="245"/>
      <c r="M9" s="245"/>
      <c r="N9" s="246"/>
    </row>
    <row r="10" spans="1:14" ht="15.75" customHeight="1" thickBot="1">
      <c r="A10" s="231" t="s">
        <v>21</v>
      </c>
      <c r="B10" s="379"/>
      <c r="C10" s="11"/>
      <c r="D10" s="42" t="s">
        <v>150</v>
      </c>
      <c r="E10" s="42" t="s">
        <v>150</v>
      </c>
      <c r="F10" s="41" t="s">
        <v>149</v>
      </c>
      <c r="G10" s="42" t="s">
        <v>150</v>
      </c>
      <c r="H10" s="41" t="s">
        <v>149</v>
      </c>
      <c r="I10" s="237" t="s">
        <v>147</v>
      </c>
      <c r="J10" s="237" t="s">
        <v>147</v>
      </c>
      <c r="K10" s="42" t="s">
        <v>150</v>
      </c>
      <c r="L10" s="42" t="s">
        <v>150</v>
      </c>
      <c r="M10" s="41" t="s">
        <v>149</v>
      </c>
      <c r="N10" s="247" t="s">
        <v>150</v>
      </c>
    </row>
    <row r="11" spans="1:14" ht="15.75" customHeight="1" thickBot="1">
      <c r="A11" s="231" t="s">
        <v>66</v>
      </c>
      <c r="B11" s="379"/>
      <c r="C11" s="11"/>
      <c r="D11" s="41" t="s">
        <v>149</v>
      </c>
      <c r="E11" s="41" t="s">
        <v>149</v>
      </c>
      <c r="F11" s="40" t="s">
        <v>148</v>
      </c>
      <c r="G11" s="40" t="s">
        <v>148</v>
      </c>
      <c r="H11" s="40" t="s">
        <v>148</v>
      </c>
      <c r="I11" s="237" t="s">
        <v>147</v>
      </c>
      <c r="J11" s="237" t="s">
        <v>147</v>
      </c>
      <c r="K11" s="42" t="s">
        <v>150</v>
      </c>
      <c r="L11" s="42" t="s">
        <v>150</v>
      </c>
      <c r="M11" s="39" t="s">
        <v>147</v>
      </c>
      <c r="N11" s="248" t="s">
        <v>148</v>
      </c>
    </row>
    <row r="12" spans="1:14" ht="15.75" customHeight="1">
      <c r="A12" s="243" t="s">
        <v>65</v>
      </c>
      <c r="B12" s="378"/>
      <c r="C12" s="244"/>
      <c r="D12" s="245"/>
      <c r="E12" s="245"/>
      <c r="F12" s="245"/>
      <c r="G12" s="245"/>
      <c r="H12" s="245"/>
      <c r="I12" s="245"/>
      <c r="J12" s="245"/>
      <c r="K12" s="245"/>
      <c r="L12" s="245"/>
      <c r="M12" s="245"/>
      <c r="N12" s="246"/>
    </row>
    <row r="13" spans="1:14" ht="15.75" customHeight="1" thickBot="1">
      <c r="A13" s="231" t="s">
        <v>21</v>
      </c>
      <c r="B13" s="379"/>
      <c r="C13" s="11"/>
      <c r="D13" s="42" t="s">
        <v>150</v>
      </c>
      <c r="E13" s="42" t="s">
        <v>150</v>
      </c>
      <c r="F13" s="41" t="s">
        <v>149</v>
      </c>
      <c r="G13" s="42" t="s">
        <v>150</v>
      </c>
      <c r="H13" s="41" t="s">
        <v>149</v>
      </c>
      <c r="I13" s="237" t="s">
        <v>147</v>
      </c>
      <c r="J13" s="237" t="s">
        <v>147</v>
      </c>
      <c r="K13" s="42" t="s">
        <v>150</v>
      </c>
      <c r="L13" s="42" t="s">
        <v>150</v>
      </c>
      <c r="M13" s="41" t="s">
        <v>149</v>
      </c>
      <c r="N13" s="247" t="s">
        <v>150</v>
      </c>
    </row>
    <row r="14" spans="1:14" ht="15.75" customHeight="1" thickBot="1">
      <c r="A14" s="233" t="s">
        <v>66</v>
      </c>
      <c r="B14" s="377"/>
      <c r="C14" s="234"/>
      <c r="D14" s="249" t="s">
        <v>149</v>
      </c>
      <c r="E14" s="249" t="s">
        <v>149</v>
      </c>
      <c r="F14" s="238" t="s">
        <v>148</v>
      </c>
      <c r="G14" s="238" t="s">
        <v>148</v>
      </c>
      <c r="H14" s="238" t="s">
        <v>148</v>
      </c>
      <c r="I14" s="237" t="s">
        <v>147</v>
      </c>
      <c r="J14" s="237" t="s">
        <v>147</v>
      </c>
      <c r="K14" s="235" t="s">
        <v>150</v>
      </c>
      <c r="L14" s="235" t="s">
        <v>150</v>
      </c>
      <c r="M14" s="237" t="s">
        <v>147</v>
      </c>
      <c r="N14" s="250" t="s">
        <v>148</v>
      </c>
    </row>
    <row r="15" spans="1:14" s="254" customFormat="1" ht="15.75" customHeight="1">
      <c r="A15" s="369" t="s">
        <v>67</v>
      </c>
      <c r="B15" s="374"/>
      <c r="C15" s="251"/>
      <c r="D15" s="252"/>
      <c r="E15" s="252"/>
      <c r="F15" s="252"/>
      <c r="G15" s="252"/>
      <c r="H15" s="252"/>
      <c r="I15" s="252"/>
      <c r="J15" s="252"/>
      <c r="K15" s="252"/>
      <c r="L15" s="252"/>
      <c r="M15" s="252"/>
      <c r="N15" s="253"/>
    </row>
    <row r="16" spans="1:14" ht="15.75" customHeight="1">
      <c r="A16" s="255" t="s">
        <v>68</v>
      </c>
      <c r="B16" s="380"/>
      <c r="C16" s="256"/>
      <c r="D16" s="245"/>
      <c r="E16" s="245"/>
      <c r="F16" s="245"/>
      <c r="G16" s="245"/>
      <c r="H16" s="245"/>
      <c r="I16" s="245"/>
      <c r="J16" s="245"/>
      <c r="K16" s="245"/>
      <c r="L16" s="245"/>
      <c r="M16" s="245"/>
      <c r="N16" s="246"/>
    </row>
    <row r="17" spans="1:14" ht="15.75" customHeight="1">
      <c r="A17" s="160" t="s">
        <v>309</v>
      </c>
      <c r="B17" s="381"/>
      <c r="C17" s="257"/>
      <c r="D17" s="43" t="s">
        <v>151</v>
      </c>
      <c r="E17" s="43" t="s">
        <v>151</v>
      </c>
      <c r="F17" s="43" t="s">
        <v>151</v>
      </c>
      <c r="G17" s="43" t="s">
        <v>151</v>
      </c>
      <c r="H17" s="43" t="s">
        <v>151</v>
      </c>
      <c r="I17" s="43" t="s">
        <v>151</v>
      </c>
      <c r="J17" s="43" t="s">
        <v>151</v>
      </c>
      <c r="K17" s="40" t="s">
        <v>148</v>
      </c>
      <c r="L17" s="40" t="s">
        <v>148</v>
      </c>
      <c r="M17" s="43" t="s">
        <v>151</v>
      </c>
      <c r="N17" s="232" t="s">
        <v>151</v>
      </c>
    </row>
    <row r="18" spans="1:14" ht="15.75" customHeight="1">
      <c r="A18" s="160" t="s">
        <v>310</v>
      </c>
      <c r="B18" s="381"/>
      <c r="C18" s="257"/>
      <c r="D18" s="42" t="s">
        <v>150</v>
      </c>
      <c r="E18" s="42" t="s">
        <v>150</v>
      </c>
      <c r="F18" s="42" t="s">
        <v>150</v>
      </c>
      <c r="G18" s="41" t="s">
        <v>149</v>
      </c>
      <c r="H18" s="41" t="s">
        <v>149</v>
      </c>
      <c r="I18" s="43" t="s">
        <v>151</v>
      </c>
      <c r="J18" s="43" t="s">
        <v>151</v>
      </c>
      <c r="K18" s="41" t="s">
        <v>149</v>
      </c>
      <c r="L18" s="41" t="s">
        <v>149</v>
      </c>
      <c r="M18" s="42" t="s">
        <v>150</v>
      </c>
      <c r="N18" s="247" t="s">
        <v>150</v>
      </c>
    </row>
    <row r="19" spans="1:14" ht="15.75" customHeight="1">
      <c r="A19" s="160" t="s">
        <v>311</v>
      </c>
      <c r="B19" s="381"/>
      <c r="C19" s="257"/>
      <c r="D19" s="41" t="s">
        <v>149</v>
      </c>
      <c r="E19" s="40" t="s">
        <v>148</v>
      </c>
      <c r="F19" s="40" t="s">
        <v>148</v>
      </c>
      <c r="G19" s="40" t="s">
        <v>148</v>
      </c>
      <c r="H19" s="40" t="s">
        <v>148</v>
      </c>
      <c r="I19" s="42" t="s">
        <v>150</v>
      </c>
      <c r="J19" s="43" t="s">
        <v>151</v>
      </c>
      <c r="K19" s="42" t="s">
        <v>150</v>
      </c>
      <c r="L19" s="42" t="s">
        <v>150</v>
      </c>
      <c r="M19" s="41" t="s">
        <v>149</v>
      </c>
      <c r="N19" s="258" t="s">
        <v>149</v>
      </c>
    </row>
    <row r="20" spans="1:14" ht="15.75" customHeight="1">
      <c r="A20" s="160" t="s">
        <v>312</v>
      </c>
      <c r="B20" s="381"/>
      <c r="C20" s="257"/>
      <c r="D20" s="40" t="s">
        <v>148</v>
      </c>
      <c r="E20" s="40" t="s">
        <v>148</v>
      </c>
      <c r="F20" s="40" t="s">
        <v>148</v>
      </c>
      <c r="G20" s="39" t="s">
        <v>147</v>
      </c>
      <c r="H20" s="39" t="s">
        <v>147</v>
      </c>
      <c r="I20" s="41" t="s">
        <v>149</v>
      </c>
      <c r="J20" s="43" t="s">
        <v>151</v>
      </c>
      <c r="K20" s="43" t="s">
        <v>151</v>
      </c>
      <c r="L20" s="43" t="s">
        <v>151</v>
      </c>
      <c r="M20" s="39" t="s">
        <v>147</v>
      </c>
      <c r="N20" s="248" t="s">
        <v>148</v>
      </c>
    </row>
    <row r="21" spans="1:14" ht="15.75" customHeight="1">
      <c r="A21" s="370" t="s">
        <v>313</v>
      </c>
      <c r="B21" s="375"/>
      <c r="C21" s="260"/>
      <c r="D21" s="39" t="s">
        <v>147</v>
      </c>
      <c r="E21" s="39" t="s">
        <v>147</v>
      </c>
      <c r="F21" s="39" t="s">
        <v>147</v>
      </c>
      <c r="G21" s="39" t="s">
        <v>147</v>
      </c>
      <c r="H21" s="39" t="s">
        <v>147</v>
      </c>
      <c r="I21" s="39" t="s">
        <v>147</v>
      </c>
      <c r="J21" s="43" t="s">
        <v>151</v>
      </c>
      <c r="K21" s="43" t="s">
        <v>151</v>
      </c>
      <c r="L21" s="43" t="s">
        <v>151</v>
      </c>
      <c r="M21" s="39" t="s">
        <v>147</v>
      </c>
      <c r="N21" s="261" t="s">
        <v>147</v>
      </c>
    </row>
    <row r="22" spans="1:14" ht="15.75" customHeight="1">
      <c r="A22" s="352" t="s">
        <v>69</v>
      </c>
      <c r="B22" s="380"/>
      <c r="C22" s="256"/>
      <c r="D22" s="245"/>
      <c r="E22" s="245"/>
      <c r="F22" s="245"/>
      <c r="G22" s="245"/>
      <c r="H22" s="245"/>
      <c r="I22" s="245"/>
      <c r="J22" s="245"/>
      <c r="K22" s="245"/>
      <c r="L22" s="245"/>
      <c r="M22" s="245"/>
      <c r="N22" s="246"/>
    </row>
    <row r="23" spans="1:14" ht="15.75" customHeight="1">
      <c r="A23" s="353" t="s">
        <v>274</v>
      </c>
      <c r="B23" s="381"/>
      <c r="C23" s="257"/>
      <c r="D23" s="43" t="s">
        <v>151</v>
      </c>
      <c r="E23" s="43" t="s">
        <v>151</v>
      </c>
      <c r="F23" s="43" t="s">
        <v>151</v>
      </c>
      <c r="G23" s="43" t="s">
        <v>151</v>
      </c>
      <c r="H23" s="43" t="s">
        <v>151</v>
      </c>
      <c r="I23" s="43" t="s">
        <v>151</v>
      </c>
      <c r="J23" s="43" t="s">
        <v>272</v>
      </c>
      <c r="K23" s="43" t="s">
        <v>151</v>
      </c>
      <c r="L23" s="41" t="s">
        <v>149</v>
      </c>
      <c r="M23" s="43" t="s">
        <v>151</v>
      </c>
      <c r="N23" s="232" t="s">
        <v>151</v>
      </c>
    </row>
    <row r="24" spans="1:14" ht="15.75" customHeight="1">
      <c r="A24" s="371" t="s">
        <v>70</v>
      </c>
      <c r="B24" s="375"/>
      <c r="C24" s="260"/>
      <c r="D24" s="41" t="s">
        <v>149</v>
      </c>
      <c r="E24" s="41" t="s">
        <v>149</v>
      </c>
      <c r="F24" s="41" t="s">
        <v>149</v>
      </c>
      <c r="G24" s="41" t="s">
        <v>149</v>
      </c>
      <c r="H24" s="40" t="s">
        <v>384</v>
      </c>
      <c r="I24" s="42" t="s">
        <v>150</v>
      </c>
      <c r="J24" s="43" t="s">
        <v>151</v>
      </c>
      <c r="K24" s="41" t="s">
        <v>149</v>
      </c>
      <c r="L24" s="41" t="s">
        <v>149</v>
      </c>
      <c r="M24" s="41" t="s">
        <v>149</v>
      </c>
      <c r="N24" s="248" t="s">
        <v>148</v>
      </c>
    </row>
    <row r="25" spans="1:14" ht="15.75" customHeight="1">
      <c r="A25" s="243" t="s">
        <v>275</v>
      </c>
      <c r="B25" s="378"/>
      <c r="C25" s="244"/>
      <c r="D25" s="245"/>
      <c r="E25" s="245"/>
      <c r="F25" s="245"/>
      <c r="G25" s="245"/>
      <c r="H25" s="245"/>
      <c r="I25" s="245"/>
      <c r="J25" s="245"/>
      <c r="K25" s="245"/>
      <c r="L25" s="245"/>
      <c r="M25" s="245"/>
      <c r="N25" s="246"/>
    </row>
    <row r="26" spans="1:14" ht="15.75" customHeight="1">
      <c r="A26" s="161" t="s">
        <v>72</v>
      </c>
      <c r="B26" s="381"/>
      <c r="C26" s="257"/>
      <c r="D26" s="41" t="s">
        <v>149</v>
      </c>
      <c r="E26" s="41" t="s">
        <v>149</v>
      </c>
      <c r="F26" s="40" t="s">
        <v>148</v>
      </c>
      <c r="G26" s="41" t="s">
        <v>149</v>
      </c>
      <c r="H26" s="40" t="s">
        <v>148</v>
      </c>
      <c r="I26" s="42" t="s">
        <v>150</v>
      </c>
      <c r="J26" s="43" t="s">
        <v>151</v>
      </c>
      <c r="K26" s="42" t="s">
        <v>150</v>
      </c>
      <c r="L26" s="42" t="s">
        <v>150</v>
      </c>
      <c r="M26" s="42" t="s">
        <v>150</v>
      </c>
      <c r="N26" s="258" t="s">
        <v>149</v>
      </c>
    </row>
    <row r="27" spans="1:14" ht="15.75" customHeight="1">
      <c r="A27" s="372" t="s">
        <v>276</v>
      </c>
      <c r="B27" s="375"/>
      <c r="C27" s="260"/>
      <c r="D27" s="41" t="s">
        <v>149</v>
      </c>
      <c r="E27" s="41" t="s">
        <v>149</v>
      </c>
      <c r="F27" s="41" t="s">
        <v>149</v>
      </c>
      <c r="G27" s="41" t="s">
        <v>149</v>
      </c>
      <c r="H27" s="41" t="s">
        <v>149</v>
      </c>
      <c r="I27" s="42" t="s">
        <v>150</v>
      </c>
      <c r="J27" s="43" t="s">
        <v>151</v>
      </c>
      <c r="K27" s="41" t="s">
        <v>149</v>
      </c>
      <c r="L27" s="41" t="s">
        <v>149</v>
      </c>
      <c r="M27" s="42" t="s">
        <v>150</v>
      </c>
      <c r="N27" s="258" t="s">
        <v>149</v>
      </c>
    </row>
    <row r="28" spans="1:14" ht="27" customHeight="1">
      <c r="A28" s="243" t="s">
        <v>73</v>
      </c>
      <c r="B28" s="378"/>
      <c r="C28" s="244"/>
      <c r="D28" s="245"/>
      <c r="E28" s="245"/>
      <c r="F28" s="245"/>
      <c r="G28" s="245"/>
      <c r="H28" s="245"/>
      <c r="I28" s="245"/>
      <c r="J28" s="245"/>
      <c r="K28" s="245"/>
      <c r="L28" s="245"/>
      <c r="M28" s="245"/>
      <c r="N28" s="246"/>
    </row>
    <row r="29" spans="1:14" ht="15.75" customHeight="1">
      <c r="A29" s="161" t="s">
        <v>277</v>
      </c>
      <c r="B29" s="381"/>
      <c r="C29" s="257"/>
      <c r="D29" s="42" t="s">
        <v>150</v>
      </c>
      <c r="E29" s="42" t="s">
        <v>150</v>
      </c>
      <c r="F29" s="42" t="s">
        <v>150</v>
      </c>
      <c r="G29" s="42" t="s">
        <v>150</v>
      </c>
      <c r="H29" s="40" t="s">
        <v>148</v>
      </c>
      <c r="I29" s="42" t="s">
        <v>150</v>
      </c>
      <c r="J29" s="43" t="s">
        <v>151</v>
      </c>
      <c r="K29" s="40" t="s">
        <v>148</v>
      </c>
      <c r="L29" s="40" t="s">
        <v>148</v>
      </c>
      <c r="M29" s="42" t="s">
        <v>150</v>
      </c>
      <c r="N29" s="247" t="s">
        <v>150</v>
      </c>
    </row>
    <row r="30" spans="1:14" ht="15.75" customHeight="1">
      <c r="A30" s="160" t="s">
        <v>74</v>
      </c>
      <c r="B30" s="381"/>
      <c r="C30" s="257"/>
      <c r="D30" s="41" t="s">
        <v>149</v>
      </c>
      <c r="E30" s="41" t="s">
        <v>149</v>
      </c>
      <c r="F30" s="41" t="s">
        <v>149</v>
      </c>
      <c r="G30" s="41" t="s">
        <v>149</v>
      </c>
      <c r="H30" s="40" t="s">
        <v>148</v>
      </c>
      <c r="I30" s="41" t="s">
        <v>149</v>
      </c>
      <c r="J30" s="43" t="s">
        <v>151</v>
      </c>
      <c r="K30" s="41" t="s">
        <v>149</v>
      </c>
      <c r="L30" s="42" t="s">
        <v>150</v>
      </c>
      <c r="M30" s="41" t="s">
        <v>149</v>
      </c>
      <c r="N30" s="258" t="s">
        <v>149</v>
      </c>
    </row>
    <row r="31" spans="1:14" ht="15.75" customHeight="1" thickBot="1">
      <c r="A31" s="262" t="s">
        <v>278</v>
      </c>
      <c r="B31" s="382"/>
      <c r="C31" s="263"/>
      <c r="D31" s="249" t="s">
        <v>149</v>
      </c>
      <c r="E31" s="238" t="s">
        <v>148</v>
      </c>
      <c r="F31" s="238" t="s">
        <v>148</v>
      </c>
      <c r="G31" s="249" t="s">
        <v>149</v>
      </c>
      <c r="H31" s="249" t="s">
        <v>149</v>
      </c>
      <c r="I31" s="235" t="s">
        <v>150</v>
      </c>
      <c r="J31" s="236" t="s">
        <v>151</v>
      </c>
      <c r="K31" s="235" t="s">
        <v>150</v>
      </c>
      <c r="L31" s="235" t="s">
        <v>150</v>
      </c>
      <c r="M31" s="238" t="s">
        <v>148</v>
      </c>
      <c r="N31" s="250" t="s">
        <v>148</v>
      </c>
    </row>
    <row r="32" spans="1:14" ht="15.75" customHeight="1">
      <c r="A32" s="368" t="s">
        <v>75</v>
      </c>
      <c r="B32" s="373"/>
      <c r="C32" s="240"/>
      <c r="D32" s="241"/>
      <c r="E32" s="241"/>
      <c r="F32" s="241"/>
      <c r="G32" s="241"/>
      <c r="H32" s="241"/>
      <c r="I32" s="241"/>
      <c r="J32" s="241"/>
      <c r="K32" s="241"/>
      <c r="L32" s="241"/>
      <c r="M32" s="241"/>
      <c r="N32" s="242"/>
    </row>
    <row r="33" spans="1:14" ht="15.75" customHeight="1">
      <c r="A33" s="255" t="s">
        <v>76</v>
      </c>
      <c r="B33" s="380"/>
      <c r="C33" s="256"/>
      <c r="D33" s="245"/>
      <c r="E33" s="245"/>
      <c r="F33" s="245"/>
      <c r="G33" s="245"/>
      <c r="H33" s="245"/>
      <c r="I33" s="245"/>
      <c r="J33" s="245"/>
      <c r="K33" s="245"/>
      <c r="L33" s="245"/>
      <c r="M33" s="245"/>
      <c r="N33" s="246"/>
    </row>
    <row r="34" spans="1:14" ht="15.75" customHeight="1">
      <c r="A34" s="160" t="s">
        <v>385</v>
      </c>
      <c r="B34" s="381"/>
      <c r="C34" s="257"/>
      <c r="D34" s="43" t="s">
        <v>151</v>
      </c>
      <c r="E34" s="43" t="s">
        <v>151</v>
      </c>
      <c r="F34" s="43" t="s">
        <v>151</v>
      </c>
      <c r="G34" s="43" t="s">
        <v>151</v>
      </c>
      <c r="H34" s="43" t="s">
        <v>151</v>
      </c>
      <c r="I34" s="43" t="s">
        <v>151</v>
      </c>
      <c r="J34" s="43" t="s">
        <v>151</v>
      </c>
      <c r="K34" s="41" t="s">
        <v>149</v>
      </c>
      <c r="L34" s="41" t="s">
        <v>149</v>
      </c>
      <c r="M34" s="43" t="s">
        <v>151</v>
      </c>
      <c r="N34" s="232" t="s">
        <v>151</v>
      </c>
    </row>
    <row r="35" spans="1:14" ht="15.75" customHeight="1">
      <c r="A35" s="160" t="s">
        <v>315</v>
      </c>
      <c r="B35" s="381"/>
      <c r="C35" s="257"/>
      <c r="D35" s="43" t="s">
        <v>151</v>
      </c>
      <c r="E35" s="43" t="s">
        <v>151</v>
      </c>
      <c r="F35" s="43" t="s">
        <v>151</v>
      </c>
      <c r="G35" s="43" t="s">
        <v>151</v>
      </c>
      <c r="H35" s="43" t="s">
        <v>151</v>
      </c>
      <c r="I35" s="43" t="s">
        <v>151</v>
      </c>
      <c r="J35" s="43" t="s">
        <v>151</v>
      </c>
      <c r="K35" s="43" t="s">
        <v>151</v>
      </c>
      <c r="L35" s="43" t="s">
        <v>151</v>
      </c>
      <c r="M35" s="43" t="s">
        <v>151</v>
      </c>
      <c r="N35" s="258" t="s">
        <v>149</v>
      </c>
    </row>
    <row r="36" spans="1:14" ht="15.75" customHeight="1">
      <c r="A36" s="160" t="s">
        <v>316</v>
      </c>
      <c r="B36" s="381"/>
      <c r="C36" s="257"/>
      <c r="D36" s="43" t="s">
        <v>151</v>
      </c>
      <c r="E36" s="43" t="s">
        <v>151</v>
      </c>
      <c r="F36" s="42" t="s">
        <v>150</v>
      </c>
      <c r="G36" s="43" t="s">
        <v>151</v>
      </c>
      <c r="H36" s="42" t="s">
        <v>150</v>
      </c>
      <c r="I36" s="41" t="s">
        <v>149</v>
      </c>
      <c r="J36" s="40" t="s">
        <v>148</v>
      </c>
      <c r="K36" s="43" t="s">
        <v>151</v>
      </c>
      <c r="L36" s="43" t="s">
        <v>151</v>
      </c>
      <c r="M36" s="42" t="s">
        <v>150</v>
      </c>
      <c r="N36" s="261" t="s">
        <v>147</v>
      </c>
    </row>
    <row r="37" spans="1:14" ht="15.75" customHeight="1">
      <c r="A37" s="160" t="s">
        <v>317</v>
      </c>
      <c r="B37" s="381"/>
      <c r="C37" s="257"/>
      <c r="D37" s="42" t="s">
        <v>150</v>
      </c>
      <c r="E37" s="42" t="s">
        <v>150</v>
      </c>
      <c r="F37" s="40" t="s">
        <v>148</v>
      </c>
      <c r="G37" s="42" t="s">
        <v>150</v>
      </c>
      <c r="H37" s="40" t="s">
        <v>148</v>
      </c>
      <c r="I37" s="40" t="s">
        <v>148</v>
      </c>
      <c r="J37" s="39" t="s">
        <v>147</v>
      </c>
      <c r="K37" s="43" t="s">
        <v>151</v>
      </c>
      <c r="L37" s="42" t="s">
        <v>386</v>
      </c>
      <c r="M37" s="41" t="s">
        <v>149</v>
      </c>
      <c r="N37" s="261" t="s">
        <v>147</v>
      </c>
    </row>
    <row r="38" spans="1:14" ht="24" customHeight="1">
      <c r="A38" s="370" t="s">
        <v>318</v>
      </c>
      <c r="B38" s="375"/>
      <c r="C38" s="260"/>
      <c r="D38" s="42" t="s">
        <v>150</v>
      </c>
      <c r="E38" s="42" t="s">
        <v>150</v>
      </c>
      <c r="F38" s="39" t="s">
        <v>147</v>
      </c>
      <c r="G38" s="42" t="s">
        <v>150</v>
      </c>
      <c r="H38" s="39" t="s">
        <v>147</v>
      </c>
      <c r="I38" s="39" t="s">
        <v>147</v>
      </c>
      <c r="J38" s="39" t="s">
        <v>147</v>
      </c>
      <c r="K38" s="41" t="s">
        <v>387</v>
      </c>
      <c r="L38" s="41" t="s">
        <v>387</v>
      </c>
      <c r="M38" s="40" t="s">
        <v>148</v>
      </c>
      <c r="N38" s="261" t="s">
        <v>147</v>
      </c>
    </row>
    <row r="39" spans="1:14" ht="15.75" customHeight="1">
      <c r="A39" s="255" t="s">
        <v>279</v>
      </c>
      <c r="B39" s="380"/>
      <c r="C39" s="256"/>
      <c r="D39" s="245"/>
      <c r="E39" s="245"/>
      <c r="F39" s="245"/>
      <c r="G39" s="245"/>
      <c r="H39" s="245"/>
      <c r="I39" s="245"/>
      <c r="J39" s="245"/>
      <c r="K39" s="245"/>
      <c r="L39" s="245"/>
      <c r="M39" s="245"/>
      <c r="N39" s="246"/>
    </row>
    <row r="40" spans="1:14" ht="29.25" customHeight="1">
      <c r="A40" s="161" t="s">
        <v>280</v>
      </c>
      <c r="B40" s="381"/>
      <c r="C40" s="257"/>
      <c r="D40" s="42" t="s">
        <v>325</v>
      </c>
      <c r="E40" s="41" t="s">
        <v>324</v>
      </c>
      <c r="F40" s="42" t="s">
        <v>325</v>
      </c>
      <c r="G40" s="41" t="s">
        <v>324</v>
      </c>
      <c r="H40" s="43" t="s">
        <v>329</v>
      </c>
      <c r="I40" s="41" t="s">
        <v>324</v>
      </c>
      <c r="J40" s="40" t="s">
        <v>323</v>
      </c>
      <c r="K40" s="42" t="s">
        <v>325</v>
      </c>
      <c r="L40" s="42" t="s">
        <v>325</v>
      </c>
      <c r="M40" s="42" t="s">
        <v>325</v>
      </c>
      <c r="N40" s="248" t="s">
        <v>323</v>
      </c>
    </row>
    <row r="41" spans="1:14" ht="25.5" customHeight="1">
      <c r="A41" s="372" t="s">
        <v>281</v>
      </c>
      <c r="B41" s="375"/>
      <c r="C41" s="260"/>
      <c r="D41" s="42" t="s">
        <v>325</v>
      </c>
      <c r="E41" s="41" t="s">
        <v>324</v>
      </c>
      <c r="F41" s="41" t="s">
        <v>324</v>
      </c>
      <c r="G41" s="42" t="s">
        <v>325</v>
      </c>
      <c r="H41" s="42" t="s">
        <v>325</v>
      </c>
      <c r="I41" s="41" t="s">
        <v>324</v>
      </c>
      <c r="J41" s="40" t="s">
        <v>323</v>
      </c>
      <c r="K41" s="41" t="s">
        <v>324</v>
      </c>
      <c r="L41" s="41" t="s">
        <v>324</v>
      </c>
      <c r="M41" s="42" t="s">
        <v>325</v>
      </c>
      <c r="N41" s="258" t="s">
        <v>324</v>
      </c>
    </row>
    <row r="42" spans="1:14" ht="15.75" customHeight="1">
      <c r="A42" s="243" t="s">
        <v>80</v>
      </c>
      <c r="B42" s="378"/>
      <c r="C42" s="244"/>
      <c r="D42" s="245"/>
      <c r="E42" s="245"/>
      <c r="F42" s="245"/>
      <c r="G42" s="245"/>
      <c r="H42" s="245"/>
      <c r="I42" s="245"/>
      <c r="J42" s="245"/>
      <c r="K42" s="245"/>
      <c r="L42" s="245"/>
      <c r="M42" s="245"/>
      <c r="N42" s="246"/>
    </row>
    <row r="43" spans="1:14" ht="15.75" customHeight="1">
      <c r="A43" s="160" t="s">
        <v>241</v>
      </c>
      <c r="B43" s="383"/>
      <c r="C43" s="264"/>
      <c r="D43" s="43" t="s">
        <v>151</v>
      </c>
      <c r="E43" s="43" t="s">
        <v>282</v>
      </c>
      <c r="F43" s="43" t="s">
        <v>282</v>
      </c>
      <c r="G43" s="43" t="s">
        <v>282</v>
      </c>
      <c r="H43" s="43" t="s">
        <v>282</v>
      </c>
      <c r="I43" s="43" t="s">
        <v>151</v>
      </c>
      <c r="J43" s="43" t="s">
        <v>151</v>
      </c>
      <c r="K43" s="43" t="s">
        <v>151</v>
      </c>
      <c r="L43" s="43" t="s">
        <v>151</v>
      </c>
      <c r="M43" s="43" t="s">
        <v>151</v>
      </c>
      <c r="N43" s="232" t="s">
        <v>151</v>
      </c>
    </row>
    <row r="44" spans="1:14" ht="15.75" customHeight="1">
      <c r="A44" s="160" t="s">
        <v>283</v>
      </c>
      <c r="B44" s="381"/>
      <c r="C44" s="257"/>
      <c r="D44" s="43" t="s">
        <v>151</v>
      </c>
      <c r="E44" s="43" t="s">
        <v>151</v>
      </c>
      <c r="F44" s="43" t="s">
        <v>151</v>
      </c>
      <c r="G44" s="43" t="s">
        <v>151</v>
      </c>
      <c r="H44" s="43" t="s">
        <v>151</v>
      </c>
      <c r="I44" s="43" t="s">
        <v>151</v>
      </c>
      <c r="J44" s="43" t="s">
        <v>151</v>
      </c>
      <c r="K44" s="43" t="s">
        <v>151</v>
      </c>
      <c r="L44" s="43" t="s">
        <v>151</v>
      </c>
      <c r="M44" s="43" t="s">
        <v>151</v>
      </c>
      <c r="N44" s="232" t="s">
        <v>151</v>
      </c>
    </row>
    <row r="45" spans="1:14" ht="15.75" customHeight="1">
      <c r="A45" s="160" t="s">
        <v>81</v>
      </c>
      <c r="B45" s="381"/>
      <c r="C45" s="257"/>
      <c r="D45" s="42" t="s">
        <v>150</v>
      </c>
      <c r="E45" s="43" t="s">
        <v>151</v>
      </c>
      <c r="F45" s="43" t="s">
        <v>151</v>
      </c>
      <c r="G45" s="43" t="s">
        <v>151</v>
      </c>
      <c r="H45" s="43" t="s">
        <v>151</v>
      </c>
      <c r="I45" s="43" t="s">
        <v>151</v>
      </c>
      <c r="J45" s="43" t="s">
        <v>151</v>
      </c>
      <c r="K45" s="43" t="s">
        <v>151</v>
      </c>
      <c r="L45" s="43" t="s">
        <v>151</v>
      </c>
      <c r="M45" s="42" t="s">
        <v>150</v>
      </c>
      <c r="N45" s="232" t="s">
        <v>151</v>
      </c>
    </row>
    <row r="46" spans="1:14" ht="15.75" customHeight="1">
      <c r="A46" s="160" t="s">
        <v>284</v>
      </c>
      <c r="B46" s="381"/>
      <c r="C46" s="257"/>
      <c r="D46" s="42" t="s">
        <v>150</v>
      </c>
      <c r="E46" s="43" t="s">
        <v>151</v>
      </c>
      <c r="F46" s="43" t="s">
        <v>151</v>
      </c>
      <c r="G46" s="43" t="s">
        <v>151</v>
      </c>
      <c r="H46" s="43" t="s">
        <v>151</v>
      </c>
      <c r="I46" s="43" t="s">
        <v>151</v>
      </c>
      <c r="J46" s="43" t="s">
        <v>151</v>
      </c>
      <c r="K46" s="43" t="s">
        <v>151</v>
      </c>
      <c r="L46" s="43" t="s">
        <v>151</v>
      </c>
      <c r="M46" s="41" t="s">
        <v>149</v>
      </c>
      <c r="N46" s="247" t="s">
        <v>150</v>
      </c>
    </row>
    <row r="47" spans="1:14" ht="15.75" customHeight="1">
      <c r="A47" s="370" t="s">
        <v>285</v>
      </c>
      <c r="B47" s="375"/>
      <c r="C47" s="260"/>
      <c r="D47" s="41" t="s">
        <v>149</v>
      </c>
      <c r="E47" s="41" t="s">
        <v>149</v>
      </c>
      <c r="F47" s="41" t="s">
        <v>149</v>
      </c>
      <c r="G47" s="42" t="s">
        <v>150</v>
      </c>
      <c r="H47" s="42" t="s">
        <v>150</v>
      </c>
      <c r="I47" s="42" t="s">
        <v>150</v>
      </c>
      <c r="J47" s="43" t="s">
        <v>151</v>
      </c>
      <c r="K47" s="43" t="s">
        <v>151</v>
      </c>
      <c r="L47" s="43" t="s">
        <v>151</v>
      </c>
      <c r="M47" s="40" t="s">
        <v>148</v>
      </c>
      <c r="N47" s="258" t="s">
        <v>149</v>
      </c>
    </row>
    <row r="48" spans="1:4" ht="12.75">
      <c r="A48" s="265" t="s">
        <v>286</v>
      </c>
      <c r="B48" s="265"/>
      <c r="C48" s="265"/>
      <c r="D48" s="266" t="s">
        <v>287</v>
      </c>
    </row>
    <row r="49" spans="4:12" ht="38.25">
      <c r="D49" s="266" t="s">
        <v>288</v>
      </c>
      <c r="K49" s="268" t="s">
        <v>289</v>
      </c>
      <c r="L49" s="268" t="s">
        <v>290</v>
      </c>
    </row>
    <row r="50" spans="4:12" ht="89.25">
      <c r="D50" s="266" t="s">
        <v>291</v>
      </c>
      <c r="K50" s="269" t="s">
        <v>306</v>
      </c>
      <c r="L50" s="268" t="s">
        <v>292</v>
      </c>
    </row>
    <row r="51" spans="1:12" ht="12.75" hidden="1">
      <c r="A51" s="279"/>
      <c r="B51" s="89"/>
      <c r="D51" s="278" t="e">
        <f>INDEX(D26:D27,$C51)</f>
        <v>#VALUE!</v>
      </c>
      <c r="E51" s="279" t="b">
        <f>ISNONTEXT(D51)</f>
        <v>1</v>
      </c>
      <c r="K51" s="269"/>
      <c r="L51" s="268"/>
    </row>
    <row r="52" spans="1:12" ht="12.75" hidden="1">
      <c r="A52" s="279"/>
      <c r="D52" s="279">
        <f>COUNT(C62:C64)</f>
        <v>1</v>
      </c>
      <c r="E52" s="279" t="b">
        <f>ISNONTEXT(D52)</f>
        <v>1</v>
      </c>
      <c r="K52" s="269"/>
      <c r="L52" s="268"/>
    </row>
    <row r="53" ht="12.75" hidden="1">
      <c r="A53" s="279"/>
    </row>
    <row r="54" spans="1:3" ht="18.75" hidden="1" thickBot="1">
      <c r="A54" s="279"/>
      <c r="B54" s="367" t="s">
        <v>347</v>
      </c>
      <c r="C54" s="89"/>
    </row>
    <row r="55" spans="1:16" ht="15" hidden="1">
      <c r="A55" s="289" t="s">
        <v>271</v>
      </c>
      <c r="B55" s="270" t="str">
        <f>Media_type</f>
        <v>Unconsolidated media</v>
      </c>
      <c r="C55" s="271">
        <f>MATCH(B55,A3:A4,0)</f>
        <v>1</v>
      </c>
      <c r="D55" s="271" t="str">
        <f aca="true" t="shared" si="0" ref="D55:N55">INDEX(D3:D4,$C55)</f>
        <v>Excellent</v>
      </c>
      <c r="E55" s="271" t="str">
        <f t="shared" si="0"/>
        <v>Excellent</v>
      </c>
      <c r="F55" s="271" t="str">
        <f t="shared" si="0"/>
        <v>Excellent</v>
      </c>
      <c r="G55" s="271" t="str">
        <f t="shared" si="0"/>
        <v>Excellent</v>
      </c>
      <c r="H55" s="271" t="str">
        <f t="shared" si="0"/>
        <v>Excellent</v>
      </c>
      <c r="I55" s="271" t="str">
        <f t="shared" si="0"/>
        <v>Excellent*</v>
      </c>
      <c r="J55" s="271" t="str">
        <f t="shared" si="0"/>
        <v>Excellent*</v>
      </c>
      <c r="K55" s="271" t="str">
        <f t="shared" si="0"/>
        <v>Excellent</v>
      </c>
      <c r="L55" s="271" t="str">
        <f t="shared" si="0"/>
        <v>Excellent</v>
      </c>
      <c r="M55" s="271" t="str">
        <f t="shared" si="0"/>
        <v>Excellent</v>
      </c>
      <c r="N55" s="271" t="str">
        <f t="shared" si="0"/>
        <v>Excellent</v>
      </c>
      <c r="O55" s="272"/>
      <c r="P55" s="226">
        <f>SUBTOTAL(103,D54:N54)</f>
        <v>0</v>
      </c>
    </row>
    <row r="56" spans="1:16" ht="15" hidden="1">
      <c r="A56" s="290" t="s">
        <v>61</v>
      </c>
      <c r="B56" s="270" t="str">
        <f>Entry!B7</f>
        <v>Homogeneous permeable</v>
      </c>
      <c r="C56" s="273"/>
      <c r="D56" s="271"/>
      <c r="E56" s="271"/>
      <c r="F56" s="271"/>
      <c r="G56" s="271"/>
      <c r="H56" s="271"/>
      <c r="I56" s="271"/>
      <c r="J56" s="271"/>
      <c r="K56" s="271"/>
      <c r="L56" s="271"/>
      <c r="M56" s="271"/>
      <c r="N56" s="271"/>
      <c r="O56" s="272"/>
      <c r="P56" s="226">
        <f>SUBTOTAL(103,D55:N55)</f>
        <v>0</v>
      </c>
    </row>
    <row r="57" spans="1:15" ht="15" hidden="1">
      <c r="A57" s="286" t="s">
        <v>62</v>
      </c>
      <c r="B57" s="270" t="str">
        <f>+Fracture_continuity</f>
        <v>Poor fracture continuity</v>
      </c>
      <c r="C57" s="271">
        <f>MATCH(B57,A7:A8,0)</f>
        <v>2</v>
      </c>
      <c r="D57" s="271" t="str">
        <f aca="true" t="shared" si="1" ref="D57:N57">INDEX(D7:D8,$C57)</f>
        <v>Fair</v>
      </c>
      <c r="E57" s="271" t="str">
        <f t="shared" si="1"/>
        <v>Fair</v>
      </c>
      <c r="F57" s="271" t="str">
        <f t="shared" si="1"/>
        <v>Poor</v>
      </c>
      <c r="G57" s="271" t="str">
        <f t="shared" si="1"/>
        <v>Poor</v>
      </c>
      <c r="H57" s="271" t="str">
        <f t="shared" si="1"/>
        <v>Poor</v>
      </c>
      <c r="I57" s="271" t="str">
        <f t="shared" si="1"/>
        <v>Not recommended</v>
      </c>
      <c r="J57" s="271" t="str">
        <f t="shared" si="1"/>
        <v>Not recommended</v>
      </c>
      <c r="K57" s="271" t="str">
        <f t="shared" si="1"/>
        <v>Good</v>
      </c>
      <c r="L57" s="271" t="str">
        <f t="shared" si="1"/>
        <v>Good</v>
      </c>
      <c r="M57" s="271" t="str">
        <f t="shared" si="1"/>
        <v>Not recommended</v>
      </c>
      <c r="N57" s="271" t="str">
        <f t="shared" si="1"/>
        <v>Poor</v>
      </c>
      <c r="O57" s="272"/>
    </row>
    <row r="58" spans="1:15" ht="15" hidden="1">
      <c r="A58" s="286" t="s">
        <v>64</v>
      </c>
      <c r="B58" s="270" t="str">
        <f>+Permeability__both_primary_and_secondary</f>
        <v>High</v>
      </c>
      <c r="C58" s="271">
        <f>MATCH(B58,A10:A11,0)</f>
        <v>2</v>
      </c>
      <c r="D58" s="271" t="str">
        <f aca="true" t="shared" si="2" ref="D58:N58">INDEX(D10:D11,$C58)</f>
        <v>Fair</v>
      </c>
      <c r="E58" s="271" t="str">
        <f t="shared" si="2"/>
        <v>Fair</v>
      </c>
      <c r="F58" s="271" t="str">
        <f t="shared" si="2"/>
        <v>Poor</v>
      </c>
      <c r="G58" s="271" t="str">
        <f t="shared" si="2"/>
        <v>Poor</v>
      </c>
      <c r="H58" s="271" t="str">
        <f t="shared" si="2"/>
        <v>Poor</v>
      </c>
      <c r="I58" s="271" t="str">
        <f t="shared" si="2"/>
        <v>Not recommended</v>
      </c>
      <c r="J58" s="271" t="str">
        <f t="shared" si="2"/>
        <v>Not recommended</v>
      </c>
      <c r="K58" s="271" t="str">
        <f t="shared" si="2"/>
        <v>Good</v>
      </c>
      <c r="L58" s="271" t="str">
        <f t="shared" si="2"/>
        <v>Good</v>
      </c>
      <c r="M58" s="271" t="str">
        <f t="shared" si="2"/>
        <v>Not recommended</v>
      </c>
      <c r="N58" s="271" t="str">
        <f t="shared" si="2"/>
        <v>Poor</v>
      </c>
      <c r="O58" s="272"/>
    </row>
    <row r="59" spans="1:15" ht="15" hidden="1">
      <c r="A59" s="286" t="s">
        <v>65</v>
      </c>
      <c r="B59" s="270" t="str">
        <f>+Transmissivity</f>
        <v>High</v>
      </c>
      <c r="C59" s="271">
        <f>MATCH(B59,A13:A14,0)</f>
        <v>2</v>
      </c>
      <c r="D59" s="271" t="str">
        <f aca="true" t="shared" si="3" ref="D59:N59">INDEX(D13:D14,$C59)</f>
        <v>Fair</v>
      </c>
      <c r="E59" s="271" t="str">
        <f t="shared" si="3"/>
        <v>Fair</v>
      </c>
      <c r="F59" s="271" t="str">
        <f t="shared" si="3"/>
        <v>Poor</v>
      </c>
      <c r="G59" s="271" t="str">
        <f t="shared" si="3"/>
        <v>Poor</v>
      </c>
      <c r="H59" s="271" t="str">
        <f t="shared" si="3"/>
        <v>Poor</v>
      </c>
      <c r="I59" s="271" t="str">
        <f t="shared" si="3"/>
        <v>Not recommended</v>
      </c>
      <c r="J59" s="271" t="str">
        <f t="shared" si="3"/>
        <v>Not recommended</v>
      </c>
      <c r="K59" s="271" t="str">
        <f t="shared" si="3"/>
        <v>Good</v>
      </c>
      <c r="L59" s="271" t="str">
        <f t="shared" si="3"/>
        <v>Good</v>
      </c>
      <c r="M59" s="271" t="str">
        <f t="shared" si="3"/>
        <v>Not recommended</v>
      </c>
      <c r="N59" s="271" t="str">
        <f t="shared" si="3"/>
        <v>Poor</v>
      </c>
      <c r="O59" s="272"/>
    </row>
    <row r="60" spans="1:15" ht="15" hidden="1">
      <c r="A60" s="290" t="s">
        <v>67</v>
      </c>
      <c r="B60" s="273"/>
      <c r="C60" s="273"/>
      <c r="D60" s="271"/>
      <c r="E60" s="271"/>
      <c r="F60" s="271"/>
      <c r="G60" s="271"/>
      <c r="H60" s="271"/>
      <c r="I60" s="271"/>
      <c r="J60" s="271"/>
      <c r="K60" s="271"/>
      <c r="L60" s="271"/>
      <c r="M60" s="271"/>
      <c r="N60" s="271"/>
      <c r="O60" s="272"/>
    </row>
    <row r="61" spans="1:15" ht="30" hidden="1">
      <c r="A61" s="286" t="s">
        <v>68</v>
      </c>
      <c r="B61" s="270" t="str">
        <f>+Entry!B46</f>
        <v>&gt;10-3 cm/sec (&gt;3 ft/day)</v>
      </c>
      <c r="C61" s="271">
        <f>MATCH(B61,A17:A21,0)</f>
        <v>1</v>
      </c>
      <c r="D61" s="271" t="str">
        <f aca="true" t="shared" si="4" ref="D61:N61">INDEX(D17:D21,$C61)</f>
        <v>Excellent</v>
      </c>
      <c r="E61" s="271" t="str">
        <f t="shared" si="4"/>
        <v>Excellent</v>
      </c>
      <c r="F61" s="271" t="str">
        <f t="shared" si="4"/>
        <v>Excellent</v>
      </c>
      <c r="G61" s="271" t="str">
        <f t="shared" si="4"/>
        <v>Excellent</v>
      </c>
      <c r="H61" s="271" t="str">
        <f t="shared" si="4"/>
        <v>Excellent</v>
      </c>
      <c r="I61" s="271" t="str">
        <f t="shared" si="4"/>
        <v>Excellent</v>
      </c>
      <c r="J61" s="271" t="str">
        <f t="shared" si="4"/>
        <v>Excellent</v>
      </c>
      <c r="K61" s="271" t="str">
        <f t="shared" si="4"/>
        <v>Poor</v>
      </c>
      <c r="L61" s="271" t="str">
        <f t="shared" si="4"/>
        <v>Poor</v>
      </c>
      <c r="M61" s="271" t="str">
        <f t="shared" si="4"/>
        <v>Excellent</v>
      </c>
      <c r="N61" s="271" t="str">
        <f t="shared" si="4"/>
        <v>Excellent</v>
      </c>
      <c r="O61" s="272"/>
    </row>
    <row r="62" spans="1:15" ht="15" hidden="1">
      <c r="A62" s="307"/>
      <c r="B62" s="270"/>
      <c r="C62" s="271"/>
      <c r="D62" s="271"/>
      <c r="E62" s="271"/>
      <c r="F62" s="271"/>
      <c r="G62" s="271"/>
      <c r="H62" s="271"/>
      <c r="I62" s="271"/>
      <c r="J62" s="271"/>
      <c r="K62" s="271"/>
      <c r="L62" s="271"/>
      <c r="M62" s="271"/>
      <c r="N62" s="271"/>
      <c r="O62" s="272"/>
    </row>
    <row r="63" spans="1:15" ht="15" hidden="1">
      <c r="A63" s="286"/>
      <c r="B63" s="281"/>
      <c r="C63" s="280"/>
      <c r="D63" s="271"/>
      <c r="E63" s="271"/>
      <c r="F63" s="271"/>
      <c r="G63" s="271"/>
      <c r="H63" s="271"/>
      <c r="I63" s="271"/>
      <c r="J63" s="271"/>
      <c r="K63" s="271"/>
      <c r="L63" s="271"/>
      <c r="M63" s="271"/>
      <c r="N63" s="271"/>
      <c r="O63" s="272"/>
    </row>
    <row r="64" spans="1:15" ht="25.5" hidden="1">
      <c r="A64" s="286" t="s">
        <v>73</v>
      </c>
      <c r="B64" s="270" t="str">
        <f>+Entry!B49</f>
        <v>Medium (0.3-1 m)</v>
      </c>
      <c r="C64" s="271">
        <f>MATCH(B64,A29:A31,0)</f>
        <v>2</v>
      </c>
      <c r="D64" s="271" t="str">
        <f aca="true" t="shared" si="5" ref="D64:N64">INDEX(D29:D31,$C64)</f>
        <v>Fair</v>
      </c>
      <c r="E64" s="271" t="str">
        <f t="shared" si="5"/>
        <v>Fair</v>
      </c>
      <c r="F64" s="271" t="str">
        <f t="shared" si="5"/>
        <v>Fair</v>
      </c>
      <c r="G64" s="271" t="str">
        <f t="shared" si="5"/>
        <v>Fair</v>
      </c>
      <c r="H64" s="271" t="str">
        <f t="shared" si="5"/>
        <v>Poor</v>
      </c>
      <c r="I64" s="271" t="str">
        <f t="shared" si="5"/>
        <v>Fair</v>
      </c>
      <c r="J64" s="271" t="str">
        <f t="shared" si="5"/>
        <v>Excellent</v>
      </c>
      <c r="K64" s="271" t="str">
        <f t="shared" si="5"/>
        <v>Fair</v>
      </c>
      <c r="L64" s="271" t="str">
        <f t="shared" si="5"/>
        <v>Good</v>
      </c>
      <c r="M64" s="271" t="str">
        <f t="shared" si="5"/>
        <v>Fair</v>
      </c>
      <c r="N64" s="271" t="str">
        <f t="shared" si="5"/>
        <v>Fair</v>
      </c>
      <c r="O64" s="272"/>
    </row>
    <row r="65" spans="1:15" ht="15" hidden="1">
      <c r="A65" s="290" t="s">
        <v>75</v>
      </c>
      <c r="B65" s="273"/>
      <c r="C65" s="273"/>
      <c r="D65" s="271"/>
      <c r="E65" s="271"/>
      <c r="F65" s="271"/>
      <c r="G65" s="271"/>
      <c r="H65" s="271"/>
      <c r="I65" s="271"/>
      <c r="J65" s="271"/>
      <c r="K65" s="271"/>
      <c r="L65" s="271"/>
      <c r="M65" s="271"/>
      <c r="N65" s="271"/>
      <c r="O65" s="272"/>
    </row>
    <row r="66" spans="1:15" ht="15" hidden="1">
      <c r="A66" s="286" t="s">
        <v>76</v>
      </c>
      <c r="B66" s="274" t="str">
        <f>Entry!B52</f>
        <v>&lt;10 m bgs but &gt;5 m bgs (15 – 35 ft)</v>
      </c>
      <c r="C66" s="271">
        <f>MATCH(B66,A34:A38,0)</f>
        <v>2</v>
      </c>
      <c r="D66" s="271" t="str">
        <f aca="true" t="shared" si="6" ref="D66:N66">INDEX(D34:D38,$C66)</f>
        <v>Excellent</v>
      </c>
      <c r="E66" s="271" t="str">
        <f t="shared" si="6"/>
        <v>Excellent</v>
      </c>
      <c r="F66" s="271" t="str">
        <f t="shared" si="6"/>
        <v>Excellent</v>
      </c>
      <c r="G66" s="271" t="str">
        <f t="shared" si="6"/>
        <v>Excellent</v>
      </c>
      <c r="H66" s="271" t="str">
        <f t="shared" si="6"/>
        <v>Excellent</v>
      </c>
      <c r="I66" s="271" t="str">
        <f t="shared" si="6"/>
        <v>Excellent</v>
      </c>
      <c r="J66" s="271" t="str">
        <f t="shared" si="6"/>
        <v>Excellent</v>
      </c>
      <c r="K66" s="271" t="str">
        <f t="shared" si="6"/>
        <v>Excellent</v>
      </c>
      <c r="L66" s="271" t="str">
        <f t="shared" si="6"/>
        <v>Excellent</v>
      </c>
      <c r="M66" s="271" t="str">
        <f t="shared" si="6"/>
        <v>Excellent</v>
      </c>
      <c r="N66" s="271" t="str">
        <f t="shared" si="6"/>
        <v>Fair</v>
      </c>
      <c r="O66" s="272"/>
    </row>
    <row r="67" spans="1:15" ht="15" hidden="1">
      <c r="A67" s="286" t="s">
        <v>77</v>
      </c>
      <c r="B67" s="274"/>
      <c r="C67" s="271"/>
      <c r="D67" s="271" t="str">
        <f>+D40</f>
        <v>Light</v>
      </c>
      <c r="E67" s="271" t="e">
        <f>INDEX(Ratings,$C67)</f>
        <v>#VALUE!</v>
      </c>
      <c r="F67" s="271" t="e">
        <f>INDEX(Ratings,$C67)</f>
        <v>#VALUE!</v>
      </c>
      <c r="G67" s="271" t="str">
        <f aca="true" t="shared" si="7" ref="G67:N67">+G40</f>
        <v>Moderate</v>
      </c>
      <c r="H67" s="271" t="str">
        <f t="shared" si="7"/>
        <v>Very Light</v>
      </c>
      <c r="I67" s="271" t="str">
        <f t="shared" si="7"/>
        <v>Moderate</v>
      </c>
      <c r="J67" s="271" t="str">
        <f t="shared" si="7"/>
        <v>Intense</v>
      </c>
      <c r="K67" s="271" t="str">
        <f t="shared" si="7"/>
        <v>Light</v>
      </c>
      <c r="L67" s="271" t="str">
        <f t="shared" si="7"/>
        <v>Light</v>
      </c>
      <c r="M67" s="271" t="str">
        <f t="shared" si="7"/>
        <v>Light</v>
      </c>
      <c r="N67" s="271" t="str">
        <f t="shared" si="7"/>
        <v>Intense</v>
      </c>
      <c r="O67" s="272"/>
    </row>
    <row r="68" spans="1:15" ht="15" hidden="1">
      <c r="A68" s="286" t="s">
        <v>79</v>
      </c>
      <c r="B68" s="274"/>
      <c r="C68" s="271"/>
      <c r="D68" s="271" t="str">
        <f>+D41</f>
        <v>Light</v>
      </c>
      <c r="E68" s="271" t="e">
        <f>INDEX(Ratings,$C68)</f>
        <v>#VALUE!</v>
      </c>
      <c r="F68" s="271" t="e">
        <f>INDEX(Ratings,$C68)</f>
        <v>#VALUE!</v>
      </c>
      <c r="G68" s="271" t="str">
        <f aca="true" t="shared" si="8" ref="G68:N68">+G41</f>
        <v>Light</v>
      </c>
      <c r="H68" s="271" t="str">
        <f t="shared" si="8"/>
        <v>Light</v>
      </c>
      <c r="I68" s="271" t="str">
        <f t="shared" si="8"/>
        <v>Moderate</v>
      </c>
      <c r="J68" s="271" t="str">
        <f t="shared" si="8"/>
        <v>Intense</v>
      </c>
      <c r="K68" s="271" t="str">
        <f t="shared" si="8"/>
        <v>Moderate</v>
      </c>
      <c r="L68" s="271" t="str">
        <f t="shared" si="8"/>
        <v>Moderate</v>
      </c>
      <c r="M68" s="271" t="str">
        <f t="shared" si="8"/>
        <v>Light</v>
      </c>
      <c r="N68" s="271" t="str">
        <f t="shared" si="8"/>
        <v>Moderate</v>
      </c>
      <c r="O68" s="272"/>
    </row>
    <row r="69" spans="1:15" ht="30" hidden="1">
      <c r="A69" s="286" t="s">
        <v>80</v>
      </c>
      <c r="B69" s="274" t="str">
        <f>Entry!B35</f>
        <v>Moderate (100-1,000 mg/kg or 1-10 mg/L)</v>
      </c>
      <c r="C69" s="271">
        <f>MATCH(B69,A43:A47,0)</f>
        <v>3</v>
      </c>
      <c r="D69" s="271" t="str">
        <f aca="true" t="shared" si="9" ref="D69:N69">INDEX(D43:D47,$C69)</f>
        <v>Good</v>
      </c>
      <c r="E69" s="271" t="str">
        <f t="shared" si="9"/>
        <v>Excellent</v>
      </c>
      <c r="F69" s="271" t="str">
        <f t="shared" si="9"/>
        <v>Excellent</v>
      </c>
      <c r="G69" s="271" t="str">
        <f t="shared" si="9"/>
        <v>Excellent</v>
      </c>
      <c r="H69" s="271" t="str">
        <f t="shared" si="9"/>
        <v>Excellent</v>
      </c>
      <c r="I69" s="271" t="str">
        <f t="shared" si="9"/>
        <v>Excellent</v>
      </c>
      <c r="J69" s="271" t="str">
        <f t="shared" si="9"/>
        <v>Excellent</v>
      </c>
      <c r="K69" s="271" t="str">
        <f t="shared" si="9"/>
        <v>Excellent</v>
      </c>
      <c r="L69" s="271" t="str">
        <f t="shared" si="9"/>
        <v>Excellent</v>
      </c>
      <c r="M69" s="271" t="str">
        <f t="shared" si="9"/>
        <v>Good</v>
      </c>
      <c r="N69" s="271" t="str">
        <f t="shared" si="9"/>
        <v>Excellent</v>
      </c>
      <c r="O69" s="272"/>
    </row>
    <row r="70" spans="1:14" ht="12.75" hidden="1">
      <c r="A70" s="279"/>
      <c r="D70" s="271"/>
      <c r="E70" s="271"/>
      <c r="F70" s="271"/>
      <c r="G70" s="271"/>
      <c r="H70" s="271"/>
      <c r="I70" s="271"/>
      <c r="J70" s="271"/>
      <c r="K70" s="271"/>
      <c r="L70" s="271"/>
      <c r="M70" s="271"/>
      <c r="N70" s="271"/>
    </row>
    <row r="71" spans="1:14" ht="12.75" hidden="1">
      <c r="A71" s="279"/>
      <c r="D71" s="271"/>
      <c r="E71" s="271"/>
      <c r="F71" s="271"/>
      <c r="G71" s="271"/>
      <c r="H71" s="271"/>
      <c r="I71" s="271"/>
      <c r="J71" s="271"/>
      <c r="K71" s="271"/>
      <c r="L71" s="271"/>
      <c r="M71" s="271"/>
      <c r="N71" s="271"/>
    </row>
    <row r="72" spans="1:14" ht="12.75" hidden="1">
      <c r="A72" s="279"/>
      <c r="D72" s="271"/>
      <c r="E72" s="271"/>
      <c r="F72" s="271"/>
      <c r="G72" s="271"/>
      <c r="H72" s="271"/>
      <c r="I72" s="271"/>
      <c r="J72" s="271"/>
      <c r="K72" s="271"/>
      <c r="L72" s="271"/>
      <c r="M72" s="271"/>
      <c r="N72" s="271"/>
    </row>
    <row r="73" spans="1:14" ht="15" hidden="1">
      <c r="A73" s="290" t="s">
        <v>293</v>
      </c>
      <c r="D73" s="271"/>
      <c r="E73" s="271"/>
      <c r="F73" s="271"/>
      <c r="G73" s="271"/>
      <c r="H73" s="271"/>
      <c r="I73" s="271"/>
      <c r="J73" s="271"/>
      <c r="K73" s="271"/>
      <c r="L73" s="271"/>
      <c r="M73" s="271"/>
      <c r="N73" s="271"/>
    </row>
    <row r="74" spans="1:14" ht="15" hidden="1">
      <c r="A74" s="290" t="s">
        <v>294</v>
      </c>
      <c r="D74" s="271"/>
      <c r="E74" s="271"/>
      <c r="F74" s="271"/>
      <c r="G74" s="271"/>
      <c r="H74" s="271"/>
      <c r="I74" s="271"/>
      <c r="J74" s="271"/>
      <c r="K74" s="271"/>
      <c r="L74" s="271"/>
      <c r="M74" s="271"/>
      <c r="N74" s="271"/>
    </row>
    <row r="75" spans="1:14" ht="12.75" hidden="1">
      <c r="A75" s="291" t="s">
        <v>295</v>
      </c>
      <c r="D75" s="271" t="str">
        <f>IF(COUNTIF(D58:D59,"Not Recommended")&gt;1,"Not Recommended",VLOOKUP(ROUND((COUNTIF(D58:D59,"Excellent")*5+COUNTIF(D58:D59,"Good")*4+COUNTIF(D58:D59,"Fair")*3+COUNTIF(D58:D59,"Poor")*2)/2,0),Scores,2))</f>
        <v>Fair</v>
      </c>
      <c r="E75" s="271" t="str">
        <f>IF(COUNTIF(E57:E58,"Not Recommended")&gt;1,"Not Recommended",VLOOKUP(ROUND((COUNTIF(E57:E58,"Excellent")*5+COUNTIF(E57:E58,"Good")*4+COUNTIF(E57:E58,"Fair")*3+COUNTIF(E57:E58,"Poor")*2)/2,0),Scores,2))</f>
        <v>Fair</v>
      </c>
      <c r="F75" s="271" t="str">
        <f>IF(COUNTIF(F57:F58,"Not Recommended")&gt;1,"Not Recommended",VLOOKUP(ROUND((COUNTIF(F57:F58,"Excellent")*5+COUNTIF(F57:F58,"Good")*4+COUNTIF(F57:F58,"Fair")*3+COUNTIF(F57:F58,"Poor")*2)/2,0),Scores,2))</f>
        <v>Poor</v>
      </c>
      <c r="G75" s="271" t="str">
        <f aca="true" t="shared" si="10" ref="G75:N75">IF(COUNTIF(G58:G59,"Not Recommended")&gt;1,"Not Recommended",VLOOKUP(ROUND((COUNTIF(G58:G59,"Excellent")*5+COUNTIF(G58:G59,"Good")*4+COUNTIF(G58:G59,"Fair")*3+COUNTIF(G58:G59,"Poor")*2)/2,0),Scores,2))</f>
        <v>Poor</v>
      </c>
      <c r="H75" s="271" t="str">
        <f t="shared" si="10"/>
        <v>Poor</v>
      </c>
      <c r="I75" s="271" t="str">
        <f t="shared" si="10"/>
        <v>Not Recommended</v>
      </c>
      <c r="J75" s="271" t="str">
        <f t="shared" si="10"/>
        <v>Not Recommended</v>
      </c>
      <c r="K75" s="271" t="str">
        <f t="shared" si="10"/>
        <v>Good</v>
      </c>
      <c r="L75" s="271" t="str">
        <f t="shared" si="10"/>
        <v>Good</v>
      </c>
      <c r="M75" s="271" t="str">
        <f t="shared" si="10"/>
        <v>Not Recommended</v>
      </c>
      <c r="N75" s="271" t="str">
        <f t="shared" si="10"/>
        <v>Poor</v>
      </c>
    </row>
    <row r="76" spans="1:14" ht="12.75" hidden="1">
      <c r="A76" s="291" t="s">
        <v>296</v>
      </c>
      <c r="D76" s="271" t="str">
        <f aca="true" t="shared" si="11" ref="D76:N76">D57</f>
        <v>Fair</v>
      </c>
      <c r="E76" s="271" t="str">
        <f t="shared" si="11"/>
        <v>Fair</v>
      </c>
      <c r="F76" s="271" t="str">
        <f t="shared" si="11"/>
        <v>Poor</v>
      </c>
      <c r="G76" s="271" t="str">
        <f t="shared" si="11"/>
        <v>Poor</v>
      </c>
      <c r="H76" s="271" t="str">
        <f t="shared" si="11"/>
        <v>Poor</v>
      </c>
      <c r="I76" s="271" t="str">
        <f t="shared" si="11"/>
        <v>Not recommended</v>
      </c>
      <c r="J76" s="271" t="str">
        <f t="shared" si="11"/>
        <v>Not recommended</v>
      </c>
      <c r="K76" s="271" t="str">
        <f t="shared" si="11"/>
        <v>Good</v>
      </c>
      <c r="L76" s="271" t="str">
        <f t="shared" si="11"/>
        <v>Good</v>
      </c>
      <c r="M76" s="271" t="str">
        <f t="shared" si="11"/>
        <v>Not recommended</v>
      </c>
      <c r="N76" s="271" t="str">
        <f t="shared" si="11"/>
        <v>Poor</v>
      </c>
    </row>
    <row r="77" spans="1:14" ht="12.75" hidden="1">
      <c r="A77" s="279"/>
      <c r="D77" s="271"/>
      <c r="E77" s="271"/>
      <c r="F77" s="271"/>
      <c r="G77" s="271"/>
      <c r="H77" s="271"/>
      <c r="I77" s="271"/>
      <c r="J77" s="271"/>
      <c r="K77" s="271"/>
      <c r="L77" s="271"/>
      <c r="M77" s="271"/>
      <c r="N77" s="271"/>
    </row>
    <row r="78" spans="1:14" ht="15" hidden="1">
      <c r="A78" s="290" t="s">
        <v>297</v>
      </c>
      <c r="D78" s="271"/>
      <c r="E78" s="271"/>
      <c r="F78" s="271"/>
      <c r="G78" s="271"/>
      <c r="H78" s="271"/>
      <c r="I78" s="271"/>
      <c r="J78" s="271"/>
      <c r="K78" s="271"/>
      <c r="L78" s="271"/>
      <c r="M78" s="271"/>
      <c r="N78" s="271"/>
    </row>
    <row r="79" spans="1:14" ht="12.75" hidden="1">
      <c r="A79" s="291" t="s">
        <v>295</v>
      </c>
      <c r="D79" s="271" t="str">
        <f aca="true" t="shared" si="12" ref="D79:N79">D61</f>
        <v>Excellent</v>
      </c>
      <c r="E79" s="271" t="str">
        <f t="shared" si="12"/>
        <v>Excellent</v>
      </c>
      <c r="F79" s="271" t="str">
        <f t="shared" si="12"/>
        <v>Excellent</v>
      </c>
      <c r="G79" s="271" t="str">
        <f t="shared" si="12"/>
        <v>Excellent</v>
      </c>
      <c r="H79" s="271" t="str">
        <f t="shared" si="12"/>
        <v>Excellent</v>
      </c>
      <c r="I79" s="271" t="str">
        <f t="shared" si="12"/>
        <v>Excellent</v>
      </c>
      <c r="J79" s="271" t="str">
        <f t="shared" si="12"/>
        <v>Excellent</v>
      </c>
      <c r="K79" s="271" t="str">
        <f t="shared" si="12"/>
        <v>Poor</v>
      </c>
      <c r="L79" s="271" t="str">
        <f t="shared" si="12"/>
        <v>Poor</v>
      </c>
      <c r="M79" s="271" t="str">
        <f t="shared" si="12"/>
        <v>Excellent</v>
      </c>
      <c r="N79" s="271" t="str">
        <f t="shared" si="12"/>
        <v>Excellent</v>
      </c>
    </row>
    <row r="80" spans="1:14" ht="12.75" hidden="1">
      <c r="A80" s="291" t="s">
        <v>296</v>
      </c>
      <c r="D80" s="280" t="str">
        <f aca="true" t="shared" si="13" ref="D80:N80">VLOOKUP(ROUND((COUNTIF(D62:D64,"Excellent")*5+COUNTIF(D62:D64,"Good")*4+COUNTIF(D62:D64,"Fair")*3+COUNTIF(D62:D64,"Poor")*2)/COUNT($C62:$C64),0),Scores,2)</f>
        <v>Fair</v>
      </c>
      <c r="E80" s="271" t="str">
        <f t="shared" si="13"/>
        <v>Fair</v>
      </c>
      <c r="F80" s="271" t="str">
        <f t="shared" si="13"/>
        <v>Fair</v>
      </c>
      <c r="G80" s="271" t="str">
        <f t="shared" si="13"/>
        <v>Fair</v>
      </c>
      <c r="H80" s="271" t="str">
        <f t="shared" si="13"/>
        <v>Poor</v>
      </c>
      <c r="I80" s="271" t="str">
        <f t="shared" si="13"/>
        <v>Fair</v>
      </c>
      <c r="J80" s="271" t="str">
        <f t="shared" si="13"/>
        <v>Excellent</v>
      </c>
      <c r="K80" s="271" t="str">
        <f t="shared" si="13"/>
        <v>Fair</v>
      </c>
      <c r="L80" s="271" t="str">
        <f t="shared" si="13"/>
        <v>Good</v>
      </c>
      <c r="M80" s="271" t="str">
        <f t="shared" si="13"/>
        <v>Fair</v>
      </c>
      <c r="N80" s="271" t="str">
        <f t="shared" si="13"/>
        <v>Fair</v>
      </c>
    </row>
    <row r="81" spans="1:14" ht="12.75" hidden="1">
      <c r="A81" s="279"/>
      <c r="D81" s="271"/>
      <c r="E81" s="271"/>
      <c r="F81" s="271"/>
      <c r="G81" s="271"/>
      <c r="H81" s="271"/>
      <c r="I81" s="271"/>
      <c r="J81" s="271"/>
      <c r="K81" s="271"/>
      <c r="L81" s="271"/>
      <c r="M81" s="271"/>
      <c r="N81" s="271"/>
    </row>
    <row r="82" spans="1:14" ht="15" hidden="1">
      <c r="A82" s="290" t="s">
        <v>298</v>
      </c>
      <c r="C82" s="89" t="s">
        <v>268</v>
      </c>
      <c r="D82" s="271"/>
      <c r="E82" s="271"/>
      <c r="F82" s="271"/>
      <c r="G82" s="271"/>
      <c r="H82" s="271"/>
      <c r="I82" s="271"/>
      <c r="J82" s="271"/>
      <c r="K82" s="271"/>
      <c r="L82" s="271"/>
      <c r="M82" s="271"/>
      <c r="N82" s="271"/>
    </row>
    <row r="83" spans="1:14" ht="12.75" hidden="1">
      <c r="A83" s="291" t="s">
        <v>295</v>
      </c>
      <c r="B83" s="267" t="str">
        <f>IF(C55=1,LOWER(A61)," permeability/ transmissivity")</f>
        <v>hydraulic conductivity</v>
      </c>
      <c r="C83" s="267" t="e">
        <f>+#REF!</f>
        <v>#REF!</v>
      </c>
      <c r="D83" s="271" t="str">
        <f aca="true" t="shared" si="14" ref="D83:N83">IF($B$55=$A$74,D75,D79)</f>
        <v>Excellent</v>
      </c>
      <c r="E83" s="271" t="str">
        <f t="shared" si="14"/>
        <v>Excellent</v>
      </c>
      <c r="F83" s="271" t="str">
        <f t="shared" si="14"/>
        <v>Excellent</v>
      </c>
      <c r="G83" s="271" t="str">
        <f t="shared" si="14"/>
        <v>Excellent</v>
      </c>
      <c r="H83" s="271" t="str">
        <f t="shared" si="14"/>
        <v>Excellent</v>
      </c>
      <c r="I83" s="271" t="str">
        <f t="shared" si="14"/>
        <v>Excellent</v>
      </c>
      <c r="J83" s="271" t="str">
        <f t="shared" si="14"/>
        <v>Excellent</v>
      </c>
      <c r="K83" s="271" t="str">
        <f t="shared" si="14"/>
        <v>Poor</v>
      </c>
      <c r="L83" s="271" t="str">
        <f t="shared" si="14"/>
        <v>Poor</v>
      </c>
      <c r="M83" s="271" t="str">
        <f t="shared" si="14"/>
        <v>Excellent</v>
      </c>
      <c r="N83" s="271" t="str">
        <f t="shared" si="14"/>
        <v>Excellent</v>
      </c>
    </row>
    <row r="84" spans="1:14" ht="12.75" hidden="1">
      <c r="A84" s="291" t="s">
        <v>296</v>
      </c>
      <c r="B84" s="267" t="str">
        <f>IF(C55=1,LOWER("Scale of heterogeneities"),LOWER(A84))</f>
        <v>scale of heterogeneities</v>
      </c>
      <c r="C84" s="267" t="e">
        <f>+#REF!</f>
        <v>#REF!</v>
      </c>
      <c r="D84" s="271">
        <f>IF($B$55=$A$74,D76,IF(OR($B56="Homogeneous impermeable",$B56="Homogeneous permeable"),0,D80))</f>
        <v>0</v>
      </c>
      <c r="E84" s="271" t="str">
        <f>IF($B$55=$A$74,E76,E80)</f>
        <v>Fair</v>
      </c>
      <c r="F84" s="271" t="str">
        <f>IF($B$55=$A$74,F76,F80)</f>
        <v>Fair</v>
      </c>
      <c r="G84" s="271">
        <f aca="true" t="shared" si="15" ref="G84:N84">IF($B$55=$A$74,G76,IF(OR($B56="Homogeneous impermeable",$B56="Homogeneous permeable"),0,G80))</f>
        <v>0</v>
      </c>
      <c r="H84" s="271">
        <f t="shared" si="15"/>
        <v>0</v>
      </c>
      <c r="I84" s="271">
        <f t="shared" si="15"/>
        <v>0</v>
      </c>
      <c r="J84" s="271">
        <f t="shared" si="15"/>
        <v>0</v>
      </c>
      <c r="K84" s="271">
        <f t="shared" si="15"/>
        <v>0</v>
      </c>
      <c r="L84" s="271">
        <f t="shared" si="15"/>
        <v>0</v>
      </c>
      <c r="M84" s="271">
        <f t="shared" si="15"/>
        <v>0</v>
      </c>
      <c r="N84" s="271">
        <f t="shared" si="15"/>
        <v>0</v>
      </c>
    </row>
    <row r="85" ht="12.75" hidden="1">
      <c r="A85" s="279"/>
    </row>
    <row r="86" spans="1:2" ht="12.75" hidden="1">
      <c r="A86" s="279"/>
      <c r="B86" s="89" t="s">
        <v>137</v>
      </c>
    </row>
    <row r="87" spans="1:14" ht="12.75" hidden="1">
      <c r="A87" s="279"/>
      <c r="D87" s="267">
        <f aca="true" t="shared" si="16" ref="D87:K88">+MATCH(D83,Ratings,0)</f>
        <v>5</v>
      </c>
      <c r="E87" s="267">
        <f t="shared" si="16"/>
        <v>5</v>
      </c>
      <c r="F87" s="267">
        <f t="shared" si="16"/>
        <v>5</v>
      </c>
      <c r="G87" s="267">
        <f t="shared" si="16"/>
        <v>5</v>
      </c>
      <c r="H87" s="267">
        <f t="shared" si="16"/>
        <v>5</v>
      </c>
      <c r="I87" s="267">
        <f t="shared" si="16"/>
        <v>5</v>
      </c>
      <c r="J87" s="267">
        <f t="shared" si="16"/>
        <v>5</v>
      </c>
      <c r="K87" s="267">
        <f t="shared" si="16"/>
        <v>2</v>
      </c>
      <c r="L87" s="267">
        <f aca="true" t="shared" si="17" ref="L87:N88">+MATCH(L83,Ratings,0)</f>
        <v>2</v>
      </c>
      <c r="M87" s="267">
        <f t="shared" si="17"/>
        <v>5</v>
      </c>
      <c r="N87" s="267">
        <f t="shared" si="17"/>
        <v>5</v>
      </c>
    </row>
    <row r="88" spans="1:14" ht="12.75" hidden="1">
      <c r="A88" s="291" t="s">
        <v>299</v>
      </c>
      <c r="D88" s="267" t="e">
        <f t="shared" si="16"/>
        <v>#N/A</v>
      </c>
      <c r="E88" s="267">
        <f t="shared" si="16"/>
        <v>3</v>
      </c>
      <c r="F88" s="267">
        <f t="shared" si="16"/>
        <v>3</v>
      </c>
      <c r="G88" s="267" t="e">
        <f t="shared" si="16"/>
        <v>#N/A</v>
      </c>
      <c r="H88" s="267" t="e">
        <f t="shared" si="16"/>
        <v>#N/A</v>
      </c>
      <c r="I88" s="267" t="e">
        <f t="shared" si="16"/>
        <v>#N/A</v>
      </c>
      <c r="J88" s="267" t="e">
        <f t="shared" si="16"/>
        <v>#N/A</v>
      </c>
      <c r="K88" s="267" t="e">
        <f t="shared" si="16"/>
        <v>#N/A</v>
      </c>
      <c r="L88" s="267" t="e">
        <f t="shared" si="17"/>
        <v>#N/A</v>
      </c>
      <c r="M88" s="267" t="e">
        <f t="shared" si="17"/>
        <v>#N/A</v>
      </c>
      <c r="N88" s="267" t="e">
        <f t="shared" si="17"/>
        <v>#N/A</v>
      </c>
    </row>
    <row r="89" spans="1:16" ht="12.75" hidden="1">
      <c r="A89" s="291" t="s">
        <v>66</v>
      </c>
      <c r="B89" s="89" t="s">
        <v>138</v>
      </c>
      <c r="P89" s="226">
        <f>COUNT(D90:N90)</f>
        <v>0</v>
      </c>
    </row>
    <row r="90" spans="1:16" ht="12.75" hidden="1">
      <c r="A90" s="291" t="s">
        <v>78</v>
      </c>
      <c r="D90" s="267" t="e">
        <f aca="true" t="shared" si="18" ref="D90:K91">+D87*$C83</f>
        <v>#REF!</v>
      </c>
      <c r="E90" s="267" t="e">
        <f t="shared" si="18"/>
        <v>#REF!</v>
      </c>
      <c r="F90" s="267" t="e">
        <f t="shared" si="18"/>
        <v>#REF!</v>
      </c>
      <c r="G90" s="267" t="e">
        <f t="shared" si="18"/>
        <v>#REF!</v>
      </c>
      <c r="H90" s="267" t="e">
        <f t="shared" si="18"/>
        <v>#REF!</v>
      </c>
      <c r="I90" s="267" t="e">
        <f t="shared" si="18"/>
        <v>#REF!</v>
      </c>
      <c r="J90" s="267" t="e">
        <f t="shared" si="18"/>
        <v>#REF!</v>
      </c>
      <c r="K90" s="267" t="e">
        <f t="shared" si="18"/>
        <v>#REF!</v>
      </c>
      <c r="L90" s="267" t="e">
        <f aca="true" t="shared" si="19" ref="L90:N91">+L87*$C83</f>
        <v>#REF!</v>
      </c>
      <c r="M90" s="267" t="e">
        <f t="shared" si="19"/>
        <v>#REF!</v>
      </c>
      <c r="N90" s="267" t="e">
        <f t="shared" si="19"/>
        <v>#REF!</v>
      </c>
      <c r="O90" s="226">
        <f>SUBTOTAL(103,C89:M89)</f>
        <v>0</v>
      </c>
      <c r="P90" s="226">
        <f>SUBTOTAL(2,D90:N90)</f>
        <v>0</v>
      </c>
    </row>
    <row r="91" spans="1:16" ht="12.75" hidden="1">
      <c r="A91" s="291" t="s">
        <v>21</v>
      </c>
      <c r="D91" s="267" t="e">
        <f t="shared" si="18"/>
        <v>#N/A</v>
      </c>
      <c r="E91" s="267" t="e">
        <f t="shared" si="18"/>
        <v>#REF!</v>
      </c>
      <c r="F91" s="267" t="e">
        <f t="shared" si="18"/>
        <v>#REF!</v>
      </c>
      <c r="G91" s="267" t="e">
        <f t="shared" si="18"/>
        <v>#N/A</v>
      </c>
      <c r="H91" s="267" t="e">
        <f t="shared" si="18"/>
        <v>#N/A</v>
      </c>
      <c r="I91" s="267" t="e">
        <f t="shared" si="18"/>
        <v>#N/A</v>
      </c>
      <c r="J91" s="267" t="e">
        <f t="shared" si="18"/>
        <v>#N/A</v>
      </c>
      <c r="K91" s="267" t="e">
        <f t="shared" si="18"/>
        <v>#N/A</v>
      </c>
      <c r="L91" s="267" t="e">
        <f t="shared" si="19"/>
        <v>#N/A</v>
      </c>
      <c r="M91" s="267" t="e">
        <f t="shared" si="19"/>
        <v>#N/A</v>
      </c>
      <c r="N91" s="267" t="e">
        <f t="shared" si="19"/>
        <v>#N/A</v>
      </c>
      <c r="P91" s="226">
        <f>SUBTOTAL(102,D90:N90)</f>
        <v>0</v>
      </c>
    </row>
    <row r="92" spans="1:16" ht="12.75" hidden="1">
      <c r="A92" s="291" t="s">
        <v>300</v>
      </c>
      <c r="P92" s="226" t="e">
        <f>SUBTOTAL(9,D90:N90)/P91</f>
        <v>#REF!</v>
      </c>
    </row>
    <row r="93" ht="12.75" hidden="1"/>
    <row r="94" ht="12.75" hidden="1"/>
    <row r="95" ht="12.75" customHeight="1" hidden="1" thickBot="1">
      <c r="A95" s="89" t="s">
        <v>348</v>
      </c>
    </row>
    <row r="96" spans="1:14" ht="15" hidden="1">
      <c r="A96" s="289" t="s">
        <v>271</v>
      </c>
      <c r="D96" s="354" t="str">
        <f>'Input vs distribution technique'!$D$55</f>
        <v>Excellent</v>
      </c>
      <c r="E96" s="354" t="str">
        <f>'Input vs distribution technique'!$E$55</f>
        <v>Excellent</v>
      </c>
      <c r="F96" s="354" t="str">
        <f>'Input vs distribution technique'!$F$55</f>
        <v>Excellent</v>
      </c>
      <c r="G96" s="354" t="str">
        <f>'Input vs distribution technique'!$G$55</f>
        <v>Excellent</v>
      </c>
      <c r="H96" s="354" t="str">
        <f>'Input vs distribution technique'!$H$55</f>
        <v>Excellent</v>
      </c>
      <c r="I96" s="354" t="str">
        <f>'Input vs distribution technique'!$I$55</f>
        <v>Excellent*</v>
      </c>
      <c r="J96" s="354" t="str">
        <f>'Input vs distribution technique'!$J$55</f>
        <v>Excellent*</v>
      </c>
      <c r="K96" s="354" t="str">
        <f>'Input vs distribution technique'!$K$55</f>
        <v>Excellent</v>
      </c>
      <c r="L96" s="354" t="str">
        <f>'Input vs distribution technique'!$L$55</f>
        <v>Excellent</v>
      </c>
      <c r="M96" s="354" t="str">
        <f>'Input vs distribution technique'!$M$55</f>
        <v>Excellent</v>
      </c>
      <c r="N96" s="354" t="str">
        <f>'Input vs distribution technique'!$N$55</f>
        <v>Excellent</v>
      </c>
    </row>
    <row r="97" spans="1:14" ht="12.75" hidden="1">
      <c r="A97" s="384" t="s">
        <v>62</v>
      </c>
      <c r="B97" s="579" t="s">
        <v>349</v>
      </c>
      <c r="D97" s="267" t="str">
        <f aca="true" t="shared" si="20" ref="D97:N97">D57</f>
        <v>Fair</v>
      </c>
      <c r="E97" s="267" t="str">
        <f t="shared" si="20"/>
        <v>Fair</v>
      </c>
      <c r="F97" s="267" t="str">
        <f t="shared" si="20"/>
        <v>Poor</v>
      </c>
      <c r="G97" s="267" t="str">
        <f t="shared" si="20"/>
        <v>Poor</v>
      </c>
      <c r="H97" s="267" t="str">
        <f t="shared" si="20"/>
        <v>Poor</v>
      </c>
      <c r="I97" s="267" t="str">
        <f t="shared" si="20"/>
        <v>Not recommended</v>
      </c>
      <c r="J97" s="267" t="str">
        <f t="shared" si="20"/>
        <v>Not recommended</v>
      </c>
      <c r="K97" s="267" t="str">
        <f t="shared" si="20"/>
        <v>Good</v>
      </c>
      <c r="L97" s="267" t="str">
        <f t="shared" si="20"/>
        <v>Good</v>
      </c>
      <c r="M97" s="267" t="str">
        <f t="shared" si="20"/>
        <v>Not recommended</v>
      </c>
      <c r="N97" s="267" t="str">
        <f t="shared" si="20"/>
        <v>Poor</v>
      </c>
    </row>
    <row r="98" spans="1:14" ht="12.75" hidden="1">
      <c r="A98" s="384" t="s">
        <v>64</v>
      </c>
      <c r="B98" s="580"/>
      <c r="D98" s="267" t="str">
        <f aca="true" t="shared" si="21" ref="D98:N98">D58</f>
        <v>Fair</v>
      </c>
      <c r="E98" s="267" t="str">
        <f t="shared" si="21"/>
        <v>Fair</v>
      </c>
      <c r="F98" s="267" t="str">
        <f t="shared" si="21"/>
        <v>Poor</v>
      </c>
      <c r="G98" s="267" t="str">
        <f t="shared" si="21"/>
        <v>Poor</v>
      </c>
      <c r="H98" s="267" t="str">
        <f t="shared" si="21"/>
        <v>Poor</v>
      </c>
      <c r="I98" s="267" t="str">
        <f t="shared" si="21"/>
        <v>Not recommended</v>
      </c>
      <c r="J98" s="267" t="str">
        <f t="shared" si="21"/>
        <v>Not recommended</v>
      </c>
      <c r="K98" s="267" t="str">
        <f t="shared" si="21"/>
        <v>Good</v>
      </c>
      <c r="L98" s="267" t="str">
        <f t="shared" si="21"/>
        <v>Good</v>
      </c>
      <c r="M98" s="267" t="str">
        <f t="shared" si="21"/>
        <v>Not recommended</v>
      </c>
      <c r="N98" s="267" t="str">
        <f t="shared" si="21"/>
        <v>Poor</v>
      </c>
    </row>
    <row r="99" spans="1:14" ht="12.75" hidden="1">
      <c r="A99" s="384" t="s">
        <v>65</v>
      </c>
      <c r="B99" s="580"/>
      <c r="D99" s="267" t="str">
        <f aca="true" t="shared" si="22" ref="D99:N99">D59</f>
        <v>Fair</v>
      </c>
      <c r="E99" s="267" t="str">
        <f t="shared" si="22"/>
        <v>Fair</v>
      </c>
      <c r="F99" s="267" t="str">
        <f t="shared" si="22"/>
        <v>Poor</v>
      </c>
      <c r="G99" s="267" t="str">
        <f t="shared" si="22"/>
        <v>Poor</v>
      </c>
      <c r="H99" s="267" t="str">
        <f t="shared" si="22"/>
        <v>Poor</v>
      </c>
      <c r="I99" s="267" t="str">
        <f t="shared" si="22"/>
        <v>Not recommended</v>
      </c>
      <c r="J99" s="267" t="str">
        <f t="shared" si="22"/>
        <v>Not recommended</v>
      </c>
      <c r="K99" s="267" t="str">
        <f t="shared" si="22"/>
        <v>Good</v>
      </c>
      <c r="L99" s="267" t="str">
        <f t="shared" si="22"/>
        <v>Good</v>
      </c>
      <c r="M99" s="267" t="str">
        <f t="shared" si="22"/>
        <v>Not recommended</v>
      </c>
      <c r="N99" s="267" t="str">
        <f t="shared" si="22"/>
        <v>Poor</v>
      </c>
    </row>
    <row r="100" spans="1:19" ht="12.75" hidden="1">
      <c r="A100" s="355" t="s">
        <v>295</v>
      </c>
      <c r="B100" s="580"/>
      <c r="D100" s="271">
        <f>D82</f>
        <v>0</v>
      </c>
      <c r="E100" s="271">
        <f>E82</f>
        <v>0</v>
      </c>
      <c r="F100" s="271">
        <f>F82</f>
        <v>0</v>
      </c>
      <c r="G100" s="271">
        <f>G82</f>
        <v>0</v>
      </c>
      <c r="H100" s="271">
        <f>H82</f>
        <v>0</v>
      </c>
      <c r="I100" s="271">
        <f aca="true" t="shared" si="23" ref="I100:S100">I82</f>
        <v>0</v>
      </c>
      <c r="J100" s="271">
        <f t="shared" si="23"/>
        <v>0</v>
      </c>
      <c r="K100" s="271">
        <f t="shared" si="23"/>
        <v>0</v>
      </c>
      <c r="L100" s="271">
        <f t="shared" si="23"/>
        <v>0</v>
      </c>
      <c r="M100" s="271">
        <f t="shared" si="23"/>
        <v>0</v>
      </c>
      <c r="N100" s="271">
        <f t="shared" si="23"/>
        <v>0</v>
      </c>
      <c r="O100" s="271">
        <f t="shared" si="23"/>
        <v>0</v>
      </c>
      <c r="P100" s="271">
        <f t="shared" si="23"/>
        <v>0</v>
      </c>
      <c r="Q100" s="271">
        <f t="shared" si="23"/>
        <v>0</v>
      </c>
      <c r="R100" s="271">
        <f t="shared" si="23"/>
        <v>0</v>
      </c>
      <c r="S100" s="271">
        <f t="shared" si="23"/>
        <v>0</v>
      </c>
    </row>
    <row r="101" spans="1:19" ht="12.75" hidden="1">
      <c r="A101" s="355" t="s">
        <v>296</v>
      </c>
      <c r="B101" s="580"/>
      <c r="D101" s="280" t="e">
        <f>VLOOKUP(ROUND((COUNTIF(D83:D85,"Excellent")*5+COUNTIF(D83:D85,"Good")*4+COUNTIF(D83:D85,"Fair")*3+COUNTIF(D83:D85,"Poor")*2)/COUNT($C83:$C85),0),Scores,2)</f>
        <v>#DIV/0!</v>
      </c>
      <c r="E101" s="280" t="e">
        <f>VLOOKUP(ROUND((COUNTIF(E83:E85,"Excellent")*5+COUNTIF(E83:E85,"Good")*4+COUNTIF(E83:E85,"Fair")*3+COUNTIF(E83:E85,"Poor")*2)/COUNT($C83:$C85),0),Scores,2)</f>
        <v>#DIV/0!</v>
      </c>
      <c r="F101" s="280" t="e">
        <f>VLOOKUP(ROUND((COUNTIF(F83:F85,"Excellent")*5+COUNTIF(F83:F85,"Good")*4+COUNTIF(F83:F85,"Fair")*3+COUNTIF(F83:F85,"Poor")*2)/COUNT($C83:$C85),0),Scores,2)</f>
        <v>#DIV/0!</v>
      </c>
      <c r="G101" s="280" t="e">
        <f>VLOOKUP(ROUND((COUNTIF(G83:G85,"Excellent")*5+COUNTIF(G83:G85,"Good")*4+COUNTIF(G83:G85,"Fair")*3+COUNTIF(G83:G85,"Poor")*2)/COUNT($C83:$C85),0),Scores,2)</f>
        <v>#DIV/0!</v>
      </c>
      <c r="H101" s="280" t="e">
        <f>VLOOKUP(ROUND((COUNTIF(H83:H85,"Excellent")*5+COUNTIF(H83:H85,"Good")*4+COUNTIF(H83:H85,"Fair")*3+COUNTIF(H83:H85,"Poor")*2)/COUNT($C83:$C85),0),Scores,2)</f>
        <v>#DIV/0!</v>
      </c>
      <c r="I101" s="280" t="e">
        <f aca="true" t="shared" si="24" ref="I101:S101">VLOOKUP(ROUND((COUNTIF(I83:I85,"Excellent")*5+COUNTIF(I83:I85,"Good")*4+COUNTIF(I83:I85,"Fair")*3+COUNTIF(I83:I85,"Poor")*2)/COUNT($C83:$C85),0),Scores,2)</f>
        <v>#DIV/0!</v>
      </c>
      <c r="J101" s="271" t="e">
        <f t="shared" si="24"/>
        <v>#DIV/0!</v>
      </c>
      <c r="K101" s="271" t="e">
        <f t="shared" si="24"/>
        <v>#DIV/0!</v>
      </c>
      <c r="L101" s="271" t="e">
        <f t="shared" si="24"/>
        <v>#DIV/0!</v>
      </c>
      <c r="M101" s="271" t="e">
        <f t="shared" si="24"/>
        <v>#DIV/0!</v>
      </c>
      <c r="N101" s="271" t="e">
        <f t="shared" si="24"/>
        <v>#DIV/0!</v>
      </c>
      <c r="O101" s="271" t="e">
        <f t="shared" si="24"/>
        <v>#DIV/0!</v>
      </c>
      <c r="P101" s="271" t="e">
        <f t="shared" si="24"/>
        <v>#DIV/0!</v>
      </c>
      <c r="Q101" s="271" t="e">
        <f t="shared" si="24"/>
        <v>#DIV/0!</v>
      </c>
      <c r="R101" s="271" t="e">
        <f t="shared" si="24"/>
        <v>#DIV/0!</v>
      </c>
      <c r="S101" s="271" t="e">
        <f t="shared" si="24"/>
        <v>#DIV/0!</v>
      </c>
    </row>
    <row r="102" spans="1:14" ht="12.75" hidden="1">
      <c r="A102" s="291" t="s">
        <v>295</v>
      </c>
      <c r="D102" s="354" t="str">
        <f>$D$83</f>
        <v>Excellent</v>
      </c>
      <c r="E102" s="354"/>
      <c r="F102" s="354"/>
      <c r="G102" s="354" t="str">
        <f>$G$83</f>
        <v>Excellent</v>
      </c>
      <c r="H102" s="354" t="str">
        <f>$H$83</f>
        <v>Excellent</v>
      </c>
      <c r="I102" s="354" t="str">
        <f>$I$83</f>
        <v>Excellent</v>
      </c>
      <c r="J102" s="354" t="str">
        <f>$J$83</f>
        <v>Excellent</v>
      </c>
      <c r="K102" s="354" t="str">
        <f>$K$83</f>
        <v>Poor</v>
      </c>
      <c r="L102" s="354" t="str">
        <f>$L$83</f>
        <v>Poor</v>
      </c>
      <c r="M102" s="354" t="str">
        <f>$M$83</f>
        <v>Excellent</v>
      </c>
      <c r="N102" s="354" t="str">
        <f>$N$83</f>
        <v>Excellent</v>
      </c>
    </row>
    <row r="103" spans="1:14" ht="12.75" hidden="1">
      <c r="A103" s="291" t="s">
        <v>296</v>
      </c>
      <c r="D103" s="354" t="str">
        <f>IF($D$84=0,"N/A",$D$84)</f>
        <v>N/A</v>
      </c>
      <c r="E103" s="354" t="str">
        <f>$E$84</f>
        <v>Fair</v>
      </c>
      <c r="F103" s="354" t="str">
        <f>$F$84</f>
        <v>Fair</v>
      </c>
      <c r="G103" s="354" t="str">
        <f>IF($G$84=0,"N/A",$G$84)</f>
        <v>N/A</v>
      </c>
      <c r="H103" s="354" t="str">
        <f>IF($H$84=0,"N/A",$H$84)</f>
        <v>N/A</v>
      </c>
      <c r="I103" s="354" t="str">
        <f>IF($I$84=0,"N/A",$I$84)</f>
        <v>N/A</v>
      </c>
      <c r="J103" s="354" t="str">
        <f>IF($J$84=0,"N/A",$J$84)</f>
        <v>N/A</v>
      </c>
      <c r="K103" s="354" t="str">
        <f>IF($K$84=0,"N/A",$K$84)</f>
        <v>N/A</v>
      </c>
      <c r="L103" s="354" t="str">
        <f>IF($L$84=0,"N/A",$L$84)</f>
        <v>N/A</v>
      </c>
      <c r="M103" s="354" t="str">
        <f>IF($M$84=0,"N/A",$M$84)</f>
        <v>N/A</v>
      </c>
      <c r="N103" s="354" t="str">
        <f>IF($N$84=0,"N/A",$N$84)</f>
        <v>N/A</v>
      </c>
    </row>
    <row r="104" spans="1:14" ht="12.75" hidden="1">
      <c r="A104" s="286" t="s">
        <v>76</v>
      </c>
      <c r="D104" s="354" t="str">
        <f>'Input vs distribution technique'!$D$66</f>
        <v>Excellent</v>
      </c>
      <c r="E104" s="354" t="str">
        <f>'Input vs distribution technique'!$E$66</f>
        <v>Excellent</v>
      </c>
      <c r="F104" s="354" t="str">
        <f>'Input vs distribution technique'!$F$66</f>
        <v>Excellent</v>
      </c>
      <c r="G104" s="354" t="str">
        <f>'Input vs distribution technique'!$G$66</f>
        <v>Excellent</v>
      </c>
      <c r="H104" s="354" t="str">
        <f>'Input vs distribution technique'!$H$66</f>
        <v>Excellent</v>
      </c>
      <c r="I104" s="354" t="str">
        <f>'Input vs distribution technique'!$I$66</f>
        <v>Excellent</v>
      </c>
      <c r="J104" s="354" t="str">
        <f>'Input vs distribution technique'!$J$66</f>
        <v>Excellent</v>
      </c>
      <c r="K104" s="354" t="str">
        <f>'Input vs distribution technique'!$K$66</f>
        <v>Excellent</v>
      </c>
      <c r="L104" s="354" t="str">
        <f>'Input vs distribution technique'!$L$66</f>
        <v>Excellent</v>
      </c>
      <c r="M104" s="354" t="str">
        <f>'Input vs distribution technique'!$M$66</f>
        <v>Excellent</v>
      </c>
      <c r="N104" s="354" t="str">
        <f>'Input vs distribution technique'!$N$66</f>
        <v>Fair</v>
      </c>
    </row>
    <row r="105" spans="1:14" ht="12.75" hidden="1">
      <c r="A105" s="286" t="s">
        <v>77</v>
      </c>
      <c r="D105" s="354" t="str">
        <f>'Input vs distribution technique'!$D$67</f>
        <v>Light</v>
      </c>
      <c r="E105" s="354" t="e">
        <f>'Input vs distribution technique'!$E$67</f>
        <v>#VALUE!</v>
      </c>
      <c r="F105" s="354" t="e">
        <f>'Input vs distribution technique'!$F$67</f>
        <v>#VALUE!</v>
      </c>
      <c r="G105" s="354" t="str">
        <f>'Input vs distribution technique'!$G$67</f>
        <v>Moderate</v>
      </c>
      <c r="H105" s="354" t="str">
        <f>'Input vs distribution technique'!$H$67</f>
        <v>Very Light</v>
      </c>
      <c r="I105" s="354" t="str">
        <f>'Input vs distribution technique'!$I$67</f>
        <v>Moderate</v>
      </c>
      <c r="J105" s="354" t="str">
        <f>'Input vs distribution technique'!$J$67</f>
        <v>Intense</v>
      </c>
      <c r="K105" s="354" t="str">
        <f>'Input vs distribution technique'!$K$67</f>
        <v>Light</v>
      </c>
      <c r="L105" s="354" t="str">
        <f>'Input vs distribution technique'!$L$67</f>
        <v>Light</v>
      </c>
      <c r="M105" s="354" t="str">
        <f>'Input vs distribution technique'!$M$67</f>
        <v>Light</v>
      </c>
      <c r="N105" s="354" t="str">
        <f>'Input vs distribution technique'!$N$67</f>
        <v>Intense</v>
      </c>
    </row>
    <row r="106" spans="1:14" ht="12.75" hidden="1">
      <c r="A106" s="286" t="s">
        <v>79</v>
      </c>
      <c r="D106" s="354" t="str">
        <f>'Input vs distribution technique'!$D$68</f>
        <v>Light</v>
      </c>
      <c r="E106" s="354" t="e">
        <f>'Input vs distribution technique'!$E$68</f>
        <v>#VALUE!</v>
      </c>
      <c r="F106" s="354" t="e">
        <f>'Input vs distribution technique'!$F$68</f>
        <v>#VALUE!</v>
      </c>
      <c r="G106" s="354" t="str">
        <f>'Input vs distribution technique'!$G$68</f>
        <v>Light</v>
      </c>
      <c r="H106" s="354" t="str">
        <f>'Input vs distribution technique'!$H$68</f>
        <v>Light</v>
      </c>
      <c r="I106" s="354" t="str">
        <f>'Input vs distribution technique'!$I$68</f>
        <v>Moderate</v>
      </c>
      <c r="J106" s="354" t="str">
        <f>'Input vs distribution technique'!$J$68</f>
        <v>Intense</v>
      </c>
      <c r="K106" s="354" t="str">
        <f>'Input vs distribution technique'!$K$68</f>
        <v>Moderate</v>
      </c>
      <c r="L106" s="354" t="str">
        <f>'Input vs distribution technique'!$L$68</f>
        <v>Moderate</v>
      </c>
      <c r="M106" s="354" t="str">
        <f>'Input vs distribution technique'!$M$68</f>
        <v>Light</v>
      </c>
      <c r="N106" s="354" t="str">
        <f>'Input vs distribution technique'!$N$68</f>
        <v>Moderate</v>
      </c>
    </row>
    <row r="107" spans="1:14" ht="12.75" hidden="1">
      <c r="A107" s="286" t="s">
        <v>80</v>
      </c>
      <c r="D107" s="354" t="str">
        <f>'Input vs distribution technique'!$D$69</f>
        <v>Good</v>
      </c>
      <c r="E107" s="354" t="str">
        <f>'Input vs distribution technique'!$E$69</f>
        <v>Excellent</v>
      </c>
      <c r="F107" s="354" t="str">
        <f>'Input vs distribution technique'!$F$69</f>
        <v>Excellent</v>
      </c>
      <c r="G107" s="354" t="str">
        <f>'Input vs distribution technique'!$G$69</f>
        <v>Excellent</v>
      </c>
      <c r="H107" s="354" t="str">
        <f>'Input vs distribution technique'!$H$69</f>
        <v>Excellent</v>
      </c>
      <c r="I107" s="354" t="str">
        <f>'Input vs distribution technique'!$I$69</f>
        <v>Excellent</v>
      </c>
      <c r="J107" s="354" t="str">
        <f>'Input vs distribution technique'!$J$69</f>
        <v>Excellent</v>
      </c>
      <c r="K107" s="354" t="str">
        <f>'Input vs distribution technique'!$K$69</f>
        <v>Excellent</v>
      </c>
      <c r="L107" s="354" t="str">
        <f>'Input vs distribution technique'!$L$69</f>
        <v>Excellent</v>
      </c>
      <c r="M107" s="354" t="str">
        <f>'Input vs distribution technique'!$M$69</f>
        <v>Good</v>
      </c>
      <c r="N107" s="354" t="str">
        <f>'Input vs distribution technique'!$N$69</f>
        <v>Excellent</v>
      </c>
    </row>
  </sheetData>
  <sheetProtection password="C979" sheet="1" objects="1" scenarios="1"/>
  <mergeCells count="1">
    <mergeCell ref="B97:B101"/>
  </mergeCells>
  <printOptions/>
  <pageMargins left="0.75" right="0.75" top="1" bottom="1" header="0.5" footer="0.5"/>
  <pageSetup fitToHeight="1" fitToWidth="1" orientation="landscape" scale="36" r:id="rId3"/>
  <legacyDrawing r:id="rId2"/>
</worksheet>
</file>

<file path=xl/worksheets/sheet3.xml><?xml version="1.0" encoding="utf-8"?>
<worksheet xmlns="http://schemas.openxmlformats.org/spreadsheetml/2006/main" xmlns:r="http://schemas.openxmlformats.org/officeDocument/2006/relationships">
  <sheetPr codeName="Sheet3"/>
  <dimension ref="A1:AG12"/>
  <sheetViews>
    <sheetView zoomScale="75" zoomScaleNormal="75" zoomScalePageLayoutView="0" workbookViewId="0" topLeftCell="A1">
      <selection activeCell="A1" sqref="A1"/>
    </sheetView>
  </sheetViews>
  <sheetFormatPr defaultColWidth="9.00390625" defaultRowHeight="15.75"/>
  <cols>
    <col min="1" max="1" width="29.125" style="0" customWidth="1"/>
    <col min="2" max="2" width="12.00390625" style="0" bestFit="1" customWidth="1"/>
    <col min="3" max="9" width="11.125" style="0" bestFit="1" customWidth="1"/>
    <col min="10" max="10" width="9.625" style="0" bestFit="1" customWidth="1"/>
    <col min="11" max="11" width="11.50390625" style="0" bestFit="1" customWidth="1"/>
    <col min="12" max="12" width="11.125" style="0" bestFit="1" customWidth="1"/>
    <col min="13" max="13" width="12.00390625" style="0" bestFit="1" customWidth="1"/>
    <col min="14" max="14" width="11.125" style="0" bestFit="1" customWidth="1"/>
    <col min="17" max="18" width="12.625" style="0" customWidth="1"/>
    <col min="22" max="23" width="10.625" style="0" customWidth="1"/>
    <col min="24" max="26" width="14.25390625" style="0" bestFit="1" customWidth="1"/>
    <col min="27" max="28" width="15.625" style="0" customWidth="1"/>
  </cols>
  <sheetData>
    <row r="1" spans="1:33" ht="16.5" customHeight="1" thickBot="1">
      <c r="A1" s="346" t="s">
        <v>207</v>
      </c>
      <c r="B1" s="585" t="s">
        <v>271</v>
      </c>
      <c r="C1" s="585"/>
      <c r="D1" s="582" t="s">
        <v>61</v>
      </c>
      <c r="E1" s="582"/>
      <c r="F1" s="582"/>
      <c r="G1" s="582"/>
      <c r="H1" s="582"/>
      <c r="I1" s="582"/>
      <c r="J1" s="582" t="s">
        <v>67</v>
      </c>
      <c r="K1" s="582"/>
      <c r="L1" s="582"/>
      <c r="M1" s="582"/>
      <c r="N1" s="582"/>
      <c r="O1" s="347"/>
      <c r="P1" s="347"/>
      <c r="Q1" s="347"/>
      <c r="R1" s="347"/>
      <c r="S1" s="347"/>
      <c r="T1" s="348"/>
      <c r="U1" s="348"/>
      <c r="V1" s="582" t="s">
        <v>75</v>
      </c>
      <c r="W1" s="582"/>
      <c r="X1" s="582"/>
      <c r="Y1" s="582"/>
      <c r="Z1" s="582"/>
      <c r="AA1" s="582"/>
      <c r="AB1" s="582"/>
      <c r="AC1" s="582"/>
      <c r="AD1" s="582"/>
      <c r="AE1" s="582"/>
      <c r="AF1" s="582"/>
      <c r="AG1" s="583"/>
    </row>
    <row r="2" spans="1:33" ht="49.5" customHeight="1" thickBot="1">
      <c r="A2" s="346"/>
      <c r="B2" s="349"/>
      <c r="C2" s="349"/>
      <c r="D2" s="581" t="s">
        <v>62</v>
      </c>
      <c r="E2" s="581"/>
      <c r="F2" s="581" t="s">
        <v>64</v>
      </c>
      <c r="G2" s="581"/>
      <c r="H2" s="581" t="s">
        <v>65</v>
      </c>
      <c r="I2" s="581"/>
      <c r="J2" s="584" t="s">
        <v>68</v>
      </c>
      <c r="K2" s="584"/>
      <c r="L2" s="584"/>
      <c r="M2" s="584"/>
      <c r="N2" s="584"/>
      <c r="O2" s="584" t="s">
        <v>69</v>
      </c>
      <c r="P2" s="584"/>
      <c r="Q2" s="581" t="s">
        <v>275</v>
      </c>
      <c r="R2" s="581"/>
      <c r="S2" s="581" t="s">
        <v>73</v>
      </c>
      <c r="T2" s="581"/>
      <c r="U2" s="581"/>
      <c r="V2" s="584" t="s">
        <v>76</v>
      </c>
      <c r="W2" s="584"/>
      <c r="X2" s="584"/>
      <c r="Y2" s="584"/>
      <c r="Z2" s="584"/>
      <c r="AA2" s="584" t="s">
        <v>279</v>
      </c>
      <c r="AB2" s="584"/>
      <c r="AC2" s="581" t="s">
        <v>80</v>
      </c>
      <c r="AD2" s="581"/>
      <c r="AE2" s="581"/>
      <c r="AF2" s="581"/>
      <c r="AG2" s="581"/>
    </row>
    <row r="3" spans="1:33" ht="77.25" thickBot="1">
      <c r="A3" s="346"/>
      <c r="B3" s="330" t="s">
        <v>92</v>
      </c>
      <c r="C3" s="330" t="s">
        <v>28</v>
      </c>
      <c r="D3" s="330" t="s">
        <v>273</v>
      </c>
      <c r="E3" s="330" t="s">
        <v>63</v>
      </c>
      <c r="F3" s="330" t="s">
        <v>21</v>
      </c>
      <c r="G3" s="330" t="s">
        <v>66</v>
      </c>
      <c r="H3" s="330" t="s">
        <v>21</v>
      </c>
      <c r="I3" s="330" t="s">
        <v>66</v>
      </c>
      <c r="J3" s="350" t="s">
        <v>309</v>
      </c>
      <c r="K3" s="350" t="s">
        <v>310</v>
      </c>
      <c r="L3" s="350" t="s">
        <v>311</v>
      </c>
      <c r="M3" s="350" t="s">
        <v>312</v>
      </c>
      <c r="N3" s="350" t="s">
        <v>313</v>
      </c>
      <c r="O3" s="351" t="s">
        <v>274</v>
      </c>
      <c r="P3" s="351" t="s">
        <v>70</v>
      </c>
      <c r="Q3" s="351" t="s">
        <v>72</v>
      </c>
      <c r="R3" s="351" t="s">
        <v>276</v>
      </c>
      <c r="S3" s="351" t="s">
        <v>277</v>
      </c>
      <c r="T3" s="350" t="s">
        <v>74</v>
      </c>
      <c r="U3" s="350" t="s">
        <v>278</v>
      </c>
      <c r="V3" s="350" t="s">
        <v>314</v>
      </c>
      <c r="W3" s="350" t="s">
        <v>315</v>
      </c>
      <c r="X3" s="350" t="s">
        <v>316</v>
      </c>
      <c r="Y3" s="350" t="s">
        <v>317</v>
      </c>
      <c r="Z3" s="350" t="s">
        <v>318</v>
      </c>
      <c r="AA3" s="351" t="s">
        <v>280</v>
      </c>
      <c r="AB3" s="351" t="s">
        <v>281</v>
      </c>
      <c r="AC3" s="350" t="s">
        <v>241</v>
      </c>
      <c r="AD3" s="350" t="s">
        <v>283</v>
      </c>
      <c r="AE3" s="350" t="s">
        <v>81</v>
      </c>
      <c r="AF3" s="350" t="s">
        <v>284</v>
      </c>
      <c r="AG3" s="350" t="s">
        <v>285</v>
      </c>
    </row>
    <row r="4" spans="1:33" ht="39" thickBot="1">
      <c r="A4" s="339" t="s">
        <v>305</v>
      </c>
      <c r="B4" s="340" t="s">
        <v>151</v>
      </c>
      <c r="C4" s="341" t="s">
        <v>150</v>
      </c>
      <c r="D4" s="341" t="s">
        <v>150</v>
      </c>
      <c r="E4" s="342" t="s">
        <v>149</v>
      </c>
      <c r="F4" s="341" t="s">
        <v>150</v>
      </c>
      <c r="G4" s="342" t="s">
        <v>149</v>
      </c>
      <c r="H4" s="341" t="s">
        <v>150</v>
      </c>
      <c r="I4" s="342" t="s">
        <v>149</v>
      </c>
      <c r="J4" s="343" t="s">
        <v>151</v>
      </c>
      <c r="K4" s="341" t="s">
        <v>150</v>
      </c>
      <c r="L4" s="342" t="s">
        <v>149</v>
      </c>
      <c r="M4" s="344" t="s">
        <v>148</v>
      </c>
      <c r="N4" s="345" t="s">
        <v>147</v>
      </c>
      <c r="O4" s="343" t="s">
        <v>151</v>
      </c>
      <c r="P4" s="342" t="s">
        <v>149</v>
      </c>
      <c r="Q4" s="342" t="s">
        <v>149</v>
      </c>
      <c r="R4" s="342" t="s">
        <v>149</v>
      </c>
      <c r="S4" s="341" t="s">
        <v>150</v>
      </c>
      <c r="T4" s="344" t="s">
        <v>148</v>
      </c>
      <c r="U4" s="344" t="s">
        <v>148</v>
      </c>
      <c r="V4" s="343" t="s">
        <v>151</v>
      </c>
      <c r="W4" s="343" t="s">
        <v>151</v>
      </c>
      <c r="X4" s="343" t="s">
        <v>151</v>
      </c>
      <c r="Y4" s="341" t="s">
        <v>150</v>
      </c>
      <c r="Z4" s="341" t="s">
        <v>150</v>
      </c>
      <c r="AA4" s="342" t="s">
        <v>324</v>
      </c>
      <c r="AB4" s="344" t="s">
        <v>323</v>
      </c>
      <c r="AC4" s="343" t="s">
        <v>151</v>
      </c>
      <c r="AD4" s="343" t="s">
        <v>151</v>
      </c>
      <c r="AE4" s="341" t="s">
        <v>150</v>
      </c>
      <c r="AF4" s="341" t="s">
        <v>150</v>
      </c>
      <c r="AG4" s="342" t="s">
        <v>149</v>
      </c>
    </row>
    <row r="5" spans="1:33" ht="39" thickBot="1">
      <c r="A5" s="338" t="s">
        <v>123</v>
      </c>
      <c r="B5" s="337" t="s">
        <v>151</v>
      </c>
      <c r="C5" s="43" t="s">
        <v>151</v>
      </c>
      <c r="D5" s="42" t="s">
        <v>150</v>
      </c>
      <c r="E5" s="40" t="s">
        <v>148</v>
      </c>
      <c r="F5" s="42" t="s">
        <v>150</v>
      </c>
      <c r="G5" s="40" t="s">
        <v>148</v>
      </c>
      <c r="H5" s="42" t="s">
        <v>150</v>
      </c>
      <c r="I5" s="40" t="s">
        <v>148</v>
      </c>
      <c r="J5" s="43" t="s">
        <v>151</v>
      </c>
      <c r="K5" s="41" t="s">
        <v>149</v>
      </c>
      <c r="L5" s="40" t="s">
        <v>148</v>
      </c>
      <c r="M5" s="39" t="s">
        <v>147</v>
      </c>
      <c r="N5" s="39" t="s">
        <v>147</v>
      </c>
      <c r="O5" s="43" t="s">
        <v>151</v>
      </c>
      <c r="P5" s="41" t="s">
        <v>149</v>
      </c>
      <c r="Q5" s="41" t="s">
        <v>149</v>
      </c>
      <c r="R5" s="41" t="s">
        <v>149</v>
      </c>
      <c r="S5" s="42" t="s">
        <v>150</v>
      </c>
      <c r="T5" s="41" t="s">
        <v>149</v>
      </c>
      <c r="U5" s="40" t="s">
        <v>148</v>
      </c>
      <c r="V5" s="43" t="s">
        <v>151</v>
      </c>
      <c r="W5" s="43" t="s">
        <v>151</v>
      </c>
      <c r="X5" s="43" t="s">
        <v>151</v>
      </c>
      <c r="Y5" s="42" t="s">
        <v>150</v>
      </c>
      <c r="Z5" s="42" t="s">
        <v>150</v>
      </c>
      <c r="AA5" s="42" t="s">
        <v>325</v>
      </c>
      <c r="AB5" s="41" t="s">
        <v>324</v>
      </c>
      <c r="AC5" s="43" t="s">
        <v>282</v>
      </c>
      <c r="AD5" s="43" t="s">
        <v>151</v>
      </c>
      <c r="AE5" s="43" t="s">
        <v>151</v>
      </c>
      <c r="AF5" s="43" t="s">
        <v>151</v>
      </c>
      <c r="AG5" s="42" t="s">
        <v>150</v>
      </c>
    </row>
    <row r="6" spans="1:33" ht="39" thickBot="1">
      <c r="A6" s="338" t="s">
        <v>246</v>
      </c>
      <c r="B6" s="337" t="s">
        <v>151</v>
      </c>
      <c r="C6" s="43" t="s">
        <v>151</v>
      </c>
      <c r="D6" s="41" t="s">
        <v>149</v>
      </c>
      <c r="E6" s="40" t="s">
        <v>148</v>
      </c>
      <c r="F6" s="41" t="s">
        <v>149</v>
      </c>
      <c r="G6" s="40" t="s">
        <v>148</v>
      </c>
      <c r="H6" s="41" t="s">
        <v>149</v>
      </c>
      <c r="I6" s="40" t="s">
        <v>148</v>
      </c>
      <c r="J6" s="43" t="s">
        <v>151</v>
      </c>
      <c r="K6" s="41" t="s">
        <v>149</v>
      </c>
      <c r="L6" s="40" t="s">
        <v>148</v>
      </c>
      <c r="M6" s="39" t="s">
        <v>147</v>
      </c>
      <c r="N6" s="39" t="s">
        <v>147</v>
      </c>
      <c r="O6" s="43" t="s">
        <v>151</v>
      </c>
      <c r="P6" s="41" t="s">
        <v>149</v>
      </c>
      <c r="Q6" s="40" t="s">
        <v>148</v>
      </c>
      <c r="R6" s="41" t="s">
        <v>149</v>
      </c>
      <c r="S6" s="42" t="s">
        <v>150</v>
      </c>
      <c r="T6" s="41" t="s">
        <v>149</v>
      </c>
      <c r="U6" s="40" t="s">
        <v>148</v>
      </c>
      <c r="V6" s="43" t="s">
        <v>151</v>
      </c>
      <c r="W6" s="43" t="s">
        <v>151</v>
      </c>
      <c r="X6" s="42" t="s">
        <v>150</v>
      </c>
      <c r="Y6" s="40" t="s">
        <v>148</v>
      </c>
      <c r="Z6" s="39" t="s">
        <v>147</v>
      </c>
      <c r="AA6" s="43" t="s">
        <v>329</v>
      </c>
      <c r="AB6" s="42" t="s">
        <v>325</v>
      </c>
      <c r="AC6" s="43" t="s">
        <v>282</v>
      </c>
      <c r="AD6" s="43" t="s">
        <v>151</v>
      </c>
      <c r="AE6" s="43" t="s">
        <v>151</v>
      </c>
      <c r="AF6" s="43" t="s">
        <v>151</v>
      </c>
      <c r="AG6" s="42" t="s">
        <v>150</v>
      </c>
    </row>
    <row r="7" spans="1:33" ht="39" thickBot="1">
      <c r="A7" s="338" t="s">
        <v>120</v>
      </c>
      <c r="B7" s="337" t="s">
        <v>272</v>
      </c>
      <c r="C7" s="39" t="s">
        <v>147</v>
      </c>
      <c r="D7" s="39" t="s">
        <v>147</v>
      </c>
      <c r="E7" s="39" t="s">
        <v>147</v>
      </c>
      <c r="F7" s="39" t="s">
        <v>147</v>
      </c>
      <c r="G7" s="39" t="s">
        <v>147</v>
      </c>
      <c r="H7" s="39" t="s">
        <v>147</v>
      </c>
      <c r="I7" s="39" t="s">
        <v>147</v>
      </c>
      <c r="J7" s="43" t="s">
        <v>151</v>
      </c>
      <c r="K7" s="43" t="s">
        <v>151</v>
      </c>
      <c r="L7" s="42" t="s">
        <v>150</v>
      </c>
      <c r="M7" s="41" t="s">
        <v>149</v>
      </c>
      <c r="N7" s="39" t="s">
        <v>147</v>
      </c>
      <c r="O7" s="43" t="s">
        <v>151</v>
      </c>
      <c r="P7" s="42" t="s">
        <v>150</v>
      </c>
      <c r="Q7" s="42" t="s">
        <v>150</v>
      </c>
      <c r="R7" s="42" t="s">
        <v>150</v>
      </c>
      <c r="S7" s="42" t="s">
        <v>150</v>
      </c>
      <c r="T7" s="41" t="s">
        <v>149</v>
      </c>
      <c r="U7" s="42" t="s">
        <v>150</v>
      </c>
      <c r="V7" s="43" t="s">
        <v>151</v>
      </c>
      <c r="W7" s="43" t="s">
        <v>151</v>
      </c>
      <c r="X7" s="41" t="s">
        <v>149</v>
      </c>
      <c r="Y7" s="40" t="s">
        <v>148</v>
      </c>
      <c r="Z7" s="39" t="s">
        <v>147</v>
      </c>
      <c r="AA7" s="41" t="s">
        <v>324</v>
      </c>
      <c r="AB7" s="40" t="s">
        <v>323</v>
      </c>
      <c r="AC7" s="43" t="s">
        <v>151</v>
      </c>
      <c r="AD7" s="43" t="s">
        <v>151</v>
      </c>
      <c r="AE7" s="43" t="s">
        <v>151</v>
      </c>
      <c r="AF7" s="43" t="s">
        <v>151</v>
      </c>
      <c r="AG7" s="42" t="s">
        <v>150</v>
      </c>
    </row>
    <row r="8" spans="1:33" ht="39" thickBot="1">
      <c r="A8" s="338" t="s">
        <v>269</v>
      </c>
      <c r="B8" s="337" t="s">
        <v>272</v>
      </c>
      <c r="C8" s="39" t="s">
        <v>147</v>
      </c>
      <c r="D8" s="39" t="s">
        <v>147</v>
      </c>
      <c r="E8" s="39" t="s">
        <v>147</v>
      </c>
      <c r="F8" s="39" t="s">
        <v>147</v>
      </c>
      <c r="G8" s="39" t="s">
        <v>147</v>
      </c>
      <c r="H8" s="39" t="s">
        <v>147</v>
      </c>
      <c r="I8" s="39" t="s">
        <v>147</v>
      </c>
      <c r="J8" s="43" t="s">
        <v>151</v>
      </c>
      <c r="K8" s="43" t="s">
        <v>151</v>
      </c>
      <c r="L8" s="43" t="s">
        <v>151</v>
      </c>
      <c r="M8" s="43" t="s">
        <v>151</v>
      </c>
      <c r="N8" s="43" t="s">
        <v>151</v>
      </c>
      <c r="O8" s="43" t="s">
        <v>272</v>
      </c>
      <c r="P8" s="43" t="s">
        <v>151</v>
      </c>
      <c r="Q8" s="43" t="s">
        <v>151</v>
      </c>
      <c r="R8" s="43" t="s">
        <v>151</v>
      </c>
      <c r="S8" s="43" t="s">
        <v>151</v>
      </c>
      <c r="T8" s="43" t="s">
        <v>151</v>
      </c>
      <c r="U8" s="43" t="s">
        <v>151</v>
      </c>
      <c r="V8" s="43" t="s">
        <v>151</v>
      </c>
      <c r="W8" s="43" t="s">
        <v>151</v>
      </c>
      <c r="X8" s="40" t="s">
        <v>148</v>
      </c>
      <c r="Y8" s="39" t="s">
        <v>147</v>
      </c>
      <c r="Z8" s="39" t="s">
        <v>147</v>
      </c>
      <c r="AA8" s="40" t="s">
        <v>323</v>
      </c>
      <c r="AB8" s="40" t="s">
        <v>323</v>
      </c>
      <c r="AC8" s="43" t="s">
        <v>151</v>
      </c>
      <c r="AD8" s="43" t="s">
        <v>151</v>
      </c>
      <c r="AE8" s="43" t="s">
        <v>151</v>
      </c>
      <c r="AF8" s="43" t="s">
        <v>151</v>
      </c>
      <c r="AG8" s="43" t="s">
        <v>151</v>
      </c>
    </row>
    <row r="9" spans="1:33" ht="45.75" thickBot="1">
      <c r="A9" s="338" t="s">
        <v>128</v>
      </c>
      <c r="B9" s="337" t="s">
        <v>151</v>
      </c>
      <c r="C9" s="43" t="s">
        <v>151</v>
      </c>
      <c r="D9" s="42" t="s">
        <v>150</v>
      </c>
      <c r="E9" s="42" t="s">
        <v>150</v>
      </c>
      <c r="F9" s="42" t="s">
        <v>150</v>
      </c>
      <c r="G9" s="42" t="s">
        <v>150</v>
      </c>
      <c r="H9" s="42" t="s">
        <v>150</v>
      </c>
      <c r="I9" s="42" t="s">
        <v>150</v>
      </c>
      <c r="J9" s="40" t="s">
        <v>148</v>
      </c>
      <c r="K9" s="41" t="s">
        <v>149</v>
      </c>
      <c r="L9" s="42" t="s">
        <v>150</v>
      </c>
      <c r="M9" s="43" t="s">
        <v>151</v>
      </c>
      <c r="N9" s="43" t="s">
        <v>151</v>
      </c>
      <c r="O9" s="43" t="s">
        <v>151</v>
      </c>
      <c r="P9" s="41" t="s">
        <v>149</v>
      </c>
      <c r="Q9" s="42" t="s">
        <v>150</v>
      </c>
      <c r="R9" s="41" t="s">
        <v>149</v>
      </c>
      <c r="S9" s="40" t="s">
        <v>148</v>
      </c>
      <c r="T9" s="41" t="s">
        <v>149</v>
      </c>
      <c r="U9" s="42" t="s">
        <v>150</v>
      </c>
      <c r="V9" s="41" t="s">
        <v>149</v>
      </c>
      <c r="W9" s="43" t="s">
        <v>151</v>
      </c>
      <c r="X9" s="43" t="s">
        <v>151</v>
      </c>
      <c r="Y9" s="41" t="s">
        <v>149</v>
      </c>
      <c r="Z9" s="40" t="s">
        <v>148</v>
      </c>
      <c r="AA9" s="42" t="s">
        <v>325</v>
      </c>
      <c r="AB9" s="41" t="s">
        <v>324</v>
      </c>
      <c r="AC9" s="43" t="s">
        <v>151</v>
      </c>
      <c r="AD9" s="43" t="s">
        <v>151</v>
      </c>
      <c r="AE9" s="43" t="s">
        <v>151</v>
      </c>
      <c r="AF9" s="43" t="s">
        <v>151</v>
      </c>
      <c r="AG9" s="43" t="s">
        <v>151</v>
      </c>
    </row>
    <row r="10" spans="1:33" ht="45.75" thickBot="1">
      <c r="A10" s="338" t="s">
        <v>127</v>
      </c>
      <c r="B10" s="337" t="s">
        <v>151</v>
      </c>
      <c r="C10" s="43" t="s">
        <v>151</v>
      </c>
      <c r="D10" s="42" t="s">
        <v>150</v>
      </c>
      <c r="E10" s="42" t="s">
        <v>150</v>
      </c>
      <c r="F10" s="42" t="s">
        <v>150</v>
      </c>
      <c r="G10" s="42" t="s">
        <v>150</v>
      </c>
      <c r="H10" s="42" t="s">
        <v>150</v>
      </c>
      <c r="I10" s="42" t="s">
        <v>150</v>
      </c>
      <c r="J10" s="40" t="s">
        <v>148</v>
      </c>
      <c r="K10" s="41" t="s">
        <v>149</v>
      </c>
      <c r="L10" s="42" t="s">
        <v>150</v>
      </c>
      <c r="M10" s="43" t="s">
        <v>151</v>
      </c>
      <c r="N10" s="43" t="s">
        <v>151</v>
      </c>
      <c r="O10" s="41" t="s">
        <v>149</v>
      </c>
      <c r="P10" s="41" t="s">
        <v>149</v>
      </c>
      <c r="Q10" s="42" t="s">
        <v>150</v>
      </c>
      <c r="R10" s="41" t="s">
        <v>149</v>
      </c>
      <c r="S10" s="40" t="s">
        <v>148</v>
      </c>
      <c r="T10" s="42" t="s">
        <v>150</v>
      </c>
      <c r="U10" s="42" t="s">
        <v>150</v>
      </c>
      <c r="V10" s="41" t="s">
        <v>149</v>
      </c>
      <c r="W10" s="43" t="s">
        <v>151</v>
      </c>
      <c r="X10" s="42" t="s">
        <v>150</v>
      </c>
      <c r="Y10" s="41" t="s">
        <v>149</v>
      </c>
      <c r="Z10" s="40" t="s">
        <v>148</v>
      </c>
      <c r="AA10" s="42" t="s">
        <v>325</v>
      </c>
      <c r="AB10" s="41" t="s">
        <v>324</v>
      </c>
      <c r="AC10" s="43" t="s">
        <v>151</v>
      </c>
      <c r="AD10" s="43" t="s">
        <v>151</v>
      </c>
      <c r="AE10" s="43" t="s">
        <v>151</v>
      </c>
      <c r="AF10" s="43" t="s">
        <v>151</v>
      </c>
      <c r="AG10" s="43" t="s">
        <v>151</v>
      </c>
    </row>
    <row r="11" spans="1:33" ht="45.75" thickBot="1">
      <c r="A11" s="338" t="s">
        <v>270</v>
      </c>
      <c r="B11" s="337" t="s">
        <v>151</v>
      </c>
      <c r="C11" s="40" t="s">
        <v>148</v>
      </c>
      <c r="D11" s="40" t="s">
        <v>148</v>
      </c>
      <c r="E11" s="39" t="s">
        <v>147</v>
      </c>
      <c r="F11" s="40" t="s">
        <v>148</v>
      </c>
      <c r="G11" s="39" t="s">
        <v>147</v>
      </c>
      <c r="H11" s="40" t="s">
        <v>148</v>
      </c>
      <c r="I11" s="39" t="s">
        <v>147</v>
      </c>
      <c r="J11" s="43" t="s">
        <v>151</v>
      </c>
      <c r="K11" s="43" t="s">
        <v>151</v>
      </c>
      <c r="L11" s="42" t="s">
        <v>150</v>
      </c>
      <c r="M11" s="41" t="s">
        <v>149</v>
      </c>
      <c r="N11" s="39" t="s">
        <v>147</v>
      </c>
      <c r="O11" s="43" t="s">
        <v>151</v>
      </c>
      <c r="P11" s="41" t="s">
        <v>149</v>
      </c>
      <c r="Q11" s="42" t="s">
        <v>150</v>
      </c>
      <c r="R11" s="42" t="s">
        <v>150</v>
      </c>
      <c r="S11" s="42" t="s">
        <v>150</v>
      </c>
      <c r="T11" s="41" t="s">
        <v>149</v>
      </c>
      <c r="U11" s="40" t="s">
        <v>148</v>
      </c>
      <c r="V11" s="43" t="s">
        <v>151</v>
      </c>
      <c r="W11" s="43" t="s">
        <v>151</v>
      </c>
      <c r="X11" s="42" t="s">
        <v>150</v>
      </c>
      <c r="Y11" s="41" t="s">
        <v>149</v>
      </c>
      <c r="Z11" s="40" t="s">
        <v>148</v>
      </c>
      <c r="AA11" s="41" t="s">
        <v>324</v>
      </c>
      <c r="AB11" s="41" t="s">
        <v>324</v>
      </c>
      <c r="AC11" s="43" t="s">
        <v>151</v>
      </c>
      <c r="AD11" s="43" t="s">
        <v>151</v>
      </c>
      <c r="AE11" s="42" t="s">
        <v>150</v>
      </c>
      <c r="AF11" s="41" t="s">
        <v>149</v>
      </c>
      <c r="AG11" s="40" t="s">
        <v>148</v>
      </c>
    </row>
    <row r="12" spans="1:33" ht="39" thickBot="1">
      <c r="A12" s="338" t="s">
        <v>129</v>
      </c>
      <c r="B12" s="337" t="s">
        <v>151</v>
      </c>
      <c r="C12" s="42" t="s">
        <v>150</v>
      </c>
      <c r="D12" s="42" t="s">
        <v>150</v>
      </c>
      <c r="E12" s="40" t="s">
        <v>148</v>
      </c>
      <c r="F12" s="42" t="s">
        <v>150</v>
      </c>
      <c r="G12" s="40" t="s">
        <v>148</v>
      </c>
      <c r="H12" s="42" t="s">
        <v>150</v>
      </c>
      <c r="I12" s="40" t="s">
        <v>148</v>
      </c>
      <c r="J12" s="43" t="s">
        <v>151</v>
      </c>
      <c r="K12" s="42" t="s">
        <v>150</v>
      </c>
      <c r="L12" s="41" t="s">
        <v>149</v>
      </c>
      <c r="M12" s="40" t="s">
        <v>148</v>
      </c>
      <c r="N12" s="39" t="s">
        <v>147</v>
      </c>
      <c r="O12" s="43" t="s">
        <v>151</v>
      </c>
      <c r="P12" s="40" t="s">
        <v>148</v>
      </c>
      <c r="Q12" s="41" t="s">
        <v>149</v>
      </c>
      <c r="R12" s="41" t="s">
        <v>149</v>
      </c>
      <c r="S12" s="42" t="s">
        <v>150</v>
      </c>
      <c r="T12" s="41" t="s">
        <v>149</v>
      </c>
      <c r="U12" s="40" t="s">
        <v>148</v>
      </c>
      <c r="V12" s="43" t="s">
        <v>151</v>
      </c>
      <c r="W12" s="41" t="s">
        <v>149</v>
      </c>
      <c r="X12" s="39" t="s">
        <v>147</v>
      </c>
      <c r="Y12" s="39" t="s">
        <v>147</v>
      </c>
      <c r="Z12" s="39" t="s">
        <v>147</v>
      </c>
      <c r="AA12" s="40" t="s">
        <v>323</v>
      </c>
      <c r="AB12" s="40" t="s">
        <v>323</v>
      </c>
      <c r="AC12" s="43" t="s">
        <v>151</v>
      </c>
      <c r="AD12" s="43" t="s">
        <v>151</v>
      </c>
      <c r="AE12" s="43" t="s">
        <v>151</v>
      </c>
      <c r="AF12" s="42" t="s">
        <v>150</v>
      </c>
      <c r="AG12" s="41" t="s">
        <v>149</v>
      </c>
    </row>
  </sheetData>
  <sheetProtection/>
  <mergeCells count="14">
    <mergeCell ref="B1:C1"/>
    <mergeCell ref="D2:E2"/>
    <mergeCell ref="F2:G2"/>
    <mergeCell ref="H2:I2"/>
    <mergeCell ref="J2:N2"/>
    <mergeCell ref="D1:I1"/>
    <mergeCell ref="J1:N1"/>
    <mergeCell ref="AA2:AB2"/>
    <mergeCell ref="AC2:AG2"/>
    <mergeCell ref="V1:AG1"/>
    <mergeCell ref="O2:P2"/>
    <mergeCell ref="Q2:R2"/>
    <mergeCell ref="S2:U2"/>
    <mergeCell ref="V2:Z2"/>
  </mergeCells>
  <printOptions/>
  <pageMargins left="0.75" right="0.75" top="1" bottom="1" header="0.5" footer="0.5"/>
  <pageSetup horizontalDpi="600" verticalDpi="600" orientation="landscape" paperSize="17" r:id="rId3"/>
  <legacyDrawing r:id="rId2"/>
</worksheet>
</file>

<file path=xl/worksheets/sheet4.xml><?xml version="1.0" encoding="utf-8"?>
<worksheet xmlns="http://schemas.openxmlformats.org/spreadsheetml/2006/main" xmlns:r="http://schemas.openxmlformats.org/officeDocument/2006/relationships">
  <sheetPr codeName="Sheet10"/>
  <dimension ref="A1:I40"/>
  <sheetViews>
    <sheetView zoomScalePageLayoutView="0" workbookViewId="0" topLeftCell="A1">
      <selection activeCell="C17" sqref="C17"/>
    </sheetView>
  </sheetViews>
  <sheetFormatPr defaultColWidth="7.75390625" defaultRowHeight="15.75"/>
  <cols>
    <col min="1" max="1" width="15.50390625" style="179" customWidth="1"/>
    <col min="2" max="2" width="26.375" style="179" customWidth="1"/>
    <col min="3" max="3" width="15.125" style="179" bestFit="1" customWidth="1"/>
    <col min="4" max="4" width="20.00390625" style="179" bestFit="1" customWidth="1"/>
    <col min="5" max="5" width="20.00390625" style="179" customWidth="1"/>
    <col min="6" max="6" width="16.875" style="179" bestFit="1" customWidth="1"/>
    <col min="7" max="7" width="10.75390625" style="179" bestFit="1" customWidth="1"/>
    <col min="8" max="8" width="41.00390625" style="179" hidden="1" customWidth="1"/>
    <col min="9" max="9" width="7.75390625" style="179" hidden="1" customWidth="1"/>
    <col min="10" max="16384" width="7.75390625" style="179" customWidth="1"/>
  </cols>
  <sheetData>
    <row r="1" spans="1:8" ht="16.5" thickBot="1">
      <c r="A1" s="587" t="s">
        <v>243</v>
      </c>
      <c r="B1" s="588"/>
      <c r="C1" s="175" t="s">
        <v>114</v>
      </c>
      <c r="D1" s="176" t="s">
        <v>172</v>
      </c>
      <c r="E1" s="177" t="s">
        <v>345</v>
      </c>
      <c r="F1" s="176" t="s">
        <v>116</v>
      </c>
      <c r="G1" s="177" t="s">
        <v>117</v>
      </c>
      <c r="H1" s="178"/>
    </row>
    <row r="2" spans="1:9" ht="12.75">
      <c r="A2" s="595" t="s">
        <v>120</v>
      </c>
      <c r="B2" s="596"/>
      <c r="C2" s="180">
        <v>1</v>
      </c>
      <c r="D2" s="181">
        <v>1</v>
      </c>
      <c r="E2" s="181">
        <v>1</v>
      </c>
      <c r="F2" s="182">
        <v>5</v>
      </c>
      <c r="G2" s="183">
        <v>1</v>
      </c>
      <c r="H2" s="184" t="s">
        <v>120</v>
      </c>
      <c r="I2" s="184" t="str">
        <f>A2</f>
        <v>Direct-push Probe Injection</v>
      </c>
    </row>
    <row r="3" spans="1:9" ht="12.75">
      <c r="A3" s="185" t="s">
        <v>304</v>
      </c>
      <c r="B3" s="186"/>
      <c r="C3" s="187"/>
      <c r="D3" s="188"/>
      <c r="E3" s="188"/>
      <c r="F3" s="188"/>
      <c r="G3" s="189"/>
      <c r="H3" s="184" t="s">
        <v>244</v>
      </c>
      <c r="I3" s="190" t="s">
        <v>244</v>
      </c>
    </row>
    <row r="4" spans="1:9" ht="12.75">
      <c r="A4" s="191"/>
      <c r="B4" s="192" t="s">
        <v>245</v>
      </c>
      <c r="C4" s="193">
        <v>1</v>
      </c>
      <c r="D4" s="194">
        <v>1</v>
      </c>
      <c r="E4" s="194">
        <v>1</v>
      </c>
      <c r="F4" s="194">
        <v>1</v>
      </c>
      <c r="G4" s="195">
        <v>1</v>
      </c>
      <c r="H4" s="190" t="s">
        <v>302</v>
      </c>
      <c r="I4" s="184" t="str">
        <f>B4&amp;" - "&amp;RIGHT($A$3,LEN($A$3)-FIND("- ",$A$3))</f>
        <v>Vertical Wells -  </v>
      </c>
    </row>
    <row r="5" spans="1:9" ht="12.75">
      <c r="A5" s="196"/>
      <c r="B5" s="308" t="s">
        <v>246</v>
      </c>
      <c r="C5" s="309">
        <v>3</v>
      </c>
      <c r="D5" s="310">
        <v>4</v>
      </c>
      <c r="E5" s="194">
        <v>1</v>
      </c>
      <c r="F5" s="311">
        <v>3</v>
      </c>
      <c r="G5" s="312">
        <v>3</v>
      </c>
      <c r="H5" s="190" t="s">
        <v>303</v>
      </c>
      <c r="I5" s="184" t="str">
        <f>B5&amp;" - "&amp;RIGHT($A$3,LEN($A$3)-FIND("- ",$A$3))</f>
        <v>Horizontal Wells -  </v>
      </c>
    </row>
    <row r="6" spans="1:9" ht="12.75" customHeight="1" hidden="1">
      <c r="A6" s="591" t="s">
        <v>247</v>
      </c>
      <c r="B6" s="592"/>
      <c r="C6" s="187"/>
      <c r="D6" s="188"/>
      <c r="E6" s="188"/>
      <c r="F6" s="188"/>
      <c r="G6" s="189"/>
      <c r="H6" s="184" t="s">
        <v>248</v>
      </c>
      <c r="I6" s="190" t="s">
        <v>248</v>
      </c>
    </row>
    <row r="7" spans="1:9" ht="12.75" customHeight="1" hidden="1">
      <c r="A7" s="201"/>
      <c r="B7" s="192" t="s">
        <v>245</v>
      </c>
      <c r="C7" s="282">
        <v>5</v>
      </c>
      <c r="D7" s="205">
        <v>5</v>
      </c>
      <c r="E7" s="205"/>
      <c r="F7" s="205">
        <v>5</v>
      </c>
      <c r="G7" s="283">
        <v>5</v>
      </c>
      <c r="H7" s="190" t="s">
        <v>121</v>
      </c>
      <c r="I7" s="184" t="str">
        <f>B7&amp;" - "&amp;RIGHT($A$6,LEN($A$6)-FIND("- ",$A$6))</f>
        <v>Vertical Wells -  Longer-term continuous delivery</v>
      </c>
    </row>
    <row r="8" spans="1:9" ht="12.75" customHeight="1" hidden="1">
      <c r="A8" s="201"/>
      <c r="B8" s="192" t="s">
        <v>246</v>
      </c>
      <c r="C8" s="282">
        <v>5</v>
      </c>
      <c r="D8" s="205">
        <v>5</v>
      </c>
      <c r="E8" s="205"/>
      <c r="F8" s="205">
        <v>5</v>
      </c>
      <c r="G8" s="283">
        <v>5</v>
      </c>
      <c r="H8" s="190" t="s">
        <v>122</v>
      </c>
      <c r="I8" s="184" t="str">
        <f>B8&amp;" - "&amp;RIGHT($A$6,LEN($A$6)-FIND("- ",$A$6))</f>
        <v>Horizontal Wells -  Longer-term continuous delivery</v>
      </c>
    </row>
    <row r="9" spans="1:9" ht="12.75">
      <c r="A9" s="203" t="s">
        <v>249</v>
      </c>
      <c r="B9" s="204"/>
      <c r="C9" s="187"/>
      <c r="D9" s="188"/>
      <c r="E9" s="188"/>
      <c r="F9" s="188"/>
      <c r="G9" s="189"/>
      <c r="H9" s="184" t="s">
        <v>250</v>
      </c>
      <c r="I9" s="190" t="s">
        <v>250</v>
      </c>
    </row>
    <row r="10" spans="1:9" ht="12.75">
      <c r="A10" s="201"/>
      <c r="B10" s="192" t="s">
        <v>245</v>
      </c>
      <c r="C10" s="202">
        <v>2</v>
      </c>
      <c r="D10" s="205">
        <v>5</v>
      </c>
      <c r="E10" s="194">
        <v>1</v>
      </c>
      <c r="F10" s="205">
        <v>5</v>
      </c>
      <c r="G10" s="206">
        <v>4</v>
      </c>
      <c r="H10" s="184" t="s">
        <v>123</v>
      </c>
      <c r="I10" s="184" t="str">
        <f>B10&amp;" - "&amp;$A$9</f>
        <v>Vertical Wells - Recirculation</v>
      </c>
    </row>
    <row r="11" spans="1:9" ht="12.75">
      <c r="A11" s="207"/>
      <c r="B11" s="208" t="s">
        <v>246</v>
      </c>
      <c r="C11" s="209">
        <v>4</v>
      </c>
      <c r="D11" s="205">
        <v>5</v>
      </c>
      <c r="E11" s="194">
        <v>1</v>
      </c>
      <c r="F11" s="205">
        <v>5</v>
      </c>
      <c r="G11" s="206">
        <v>4</v>
      </c>
      <c r="H11" s="184" t="s">
        <v>124</v>
      </c>
      <c r="I11" s="184" t="str">
        <f>B11&amp;" - "&amp;$A$9</f>
        <v>Horizontal Wells - Recirculation</v>
      </c>
    </row>
    <row r="12" spans="1:9" ht="12.75">
      <c r="A12" s="210" t="s">
        <v>126</v>
      </c>
      <c r="B12" s="211"/>
      <c r="C12" s="209">
        <v>4</v>
      </c>
      <c r="D12" s="198">
        <v>4</v>
      </c>
      <c r="E12" s="194">
        <v>1</v>
      </c>
      <c r="F12" s="212">
        <v>2</v>
      </c>
      <c r="G12" s="206">
        <v>4</v>
      </c>
      <c r="H12" s="190" t="s">
        <v>126</v>
      </c>
      <c r="I12" s="184" t="str">
        <f>A12</f>
        <v>Trench or curtain Injection (i.e., intercept a plume)</v>
      </c>
    </row>
    <row r="13" spans="1:9" ht="12.75">
      <c r="A13" s="589" t="s">
        <v>125</v>
      </c>
      <c r="B13" s="590"/>
      <c r="C13" s="197">
        <v>3</v>
      </c>
      <c r="D13" s="199">
        <v>3</v>
      </c>
      <c r="E13" s="194">
        <v>1</v>
      </c>
      <c r="F13" s="205">
        <v>5</v>
      </c>
      <c r="G13" s="200">
        <v>3</v>
      </c>
      <c r="H13" s="184" t="s">
        <v>125</v>
      </c>
      <c r="I13" s="184" t="str">
        <f>A13</f>
        <v>Soil Mixing</v>
      </c>
    </row>
    <row r="14" spans="1:9" ht="12.75">
      <c r="A14" s="591" t="s">
        <v>251</v>
      </c>
      <c r="B14" s="592"/>
      <c r="C14" s="187"/>
      <c r="D14" s="188"/>
      <c r="E14" s="188"/>
      <c r="F14" s="188"/>
      <c r="G14" s="189"/>
      <c r="H14" s="184" t="s">
        <v>252</v>
      </c>
      <c r="I14" s="184" t="s">
        <v>252</v>
      </c>
    </row>
    <row r="15" spans="1:9" ht="12.75">
      <c r="A15" s="201"/>
      <c r="B15" s="192" t="s">
        <v>253</v>
      </c>
      <c r="C15" s="284">
        <v>3</v>
      </c>
      <c r="D15" s="205">
        <v>5</v>
      </c>
      <c r="E15" s="194">
        <v>1</v>
      </c>
      <c r="F15" s="205">
        <v>5</v>
      </c>
      <c r="G15" s="206">
        <v>4</v>
      </c>
      <c r="H15" s="184" t="s">
        <v>127</v>
      </c>
      <c r="I15" s="184" t="str">
        <f>B15&amp;" - "&amp;$I$14</f>
        <v>Pneumatic - Fracture emplaced ISCO amendment</v>
      </c>
    </row>
    <row r="16" spans="1:9" ht="12.75">
      <c r="A16" s="207"/>
      <c r="B16" s="208" t="s">
        <v>254</v>
      </c>
      <c r="C16" s="284">
        <v>3</v>
      </c>
      <c r="D16" s="205">
        <v>5</v>
      </c>
      <c r="E16" s="194">
        <v>1</v>
      </c>
      <c r="F16" s="205">
        <v>5</v>
      </c>
      <c r="G16" s="206">
        <v>4</v>
      </c>
      <c r="H16" s="184" t="s">
        <v>128</v>
      </c>
      <c r="I16" s="184" t="str">
        <f>B16&amp;" - "&amp;$I$14</f>
        <v>Hydraulic - Fracture emplaced ISCO amendment</v>
      </c>
    </row>
    <row r="17" spans="1:9" ht="13.5" thickBot="1">
      <c r="A17" s="593" t="s">
        <v>129</v>
      </c>
      <c r="B17" s="594"/>
      <c r="C17" s="361">
        <v>1</v>
      </c>
      <c r="D17" s="213">
        <v>5</v>
      </c>
      <c r="E17" s="362">
        <v>1</v>
      </c>
      <c r="F17" s="213">
        <v>5</v>
      </c>
      <c r="G17" s="285">
        <v>1</v>
      </c>
      <c r="H17" s="184" t="s">
        <v>129</v>
      </c>
      <c r="I17" s="184" t="str">
        <f>A17</f>
        <v>Surface application or infiltration gallery</v>
      </c>
    </row>
    <row r="18" spans="1:9" ht="12.75" hidden="1">
      <c r="A18" s="214" t="s">
        <v>255</v>
      </c>
      <c r="B18" s="184"/>
      <c r="C18" s="184">
        <f>COUNTIF(C2:C17,"&lt;5")</f>
        <v>10</v>
      </c>
      <c r="D18" s="184">
        <f>COUNTIF(D2:D17,"&lt;5")</f>
        <v>5</v>
      </c>
      <c r="E18" s="184"/>
      <c r="F18" s="184">
        <f>COUNTIF(F2:F17,"&lt;5")</f>
        <v>3</v>
      </c>
      <c r="G18" s="184">
        <f>COUNTIF(G2:G17,"&lt;5")</f>
        <v>10</v>
      </c>
      <c r="H18" s="215" t="s">
        <v>256</v>
      </c>
      <c r="I18" s="184"/>
    </row>
    <row r="19" spans="1:8" ht="12.75" hidden="1">
      <c r="A19" s="214" t="s">
        <v>257</v>
      </c>
      <c r="B19" s="184"/>
      <c r="C19" s="184"/>
      <c r="D19" s="184"/>
      <c r="E19" s="184"/>
      <c r="F19" s="184"/>
      <c r="G19" s="184"/>
      <c r="H19" s="184"/>
    </row>
    <row r="20" spans="1:8" ht="12.75" hidden="1">
      <c r="A20" s="184" t="s">
        <v>258</v>
      </c>
      <c r="B20" s="184"/>
      <c r="C20" s="184">
        <f>COUNT(C2:C17)</f>
        <v>12</v>
      </c>
      <c r="D20" s="184">
        <f>COUNT(D2:D17)</f>
        <v>12</v>
      </c>
      <c r="E20" s="184"/>
      <c r="F20" s="184">
        <f>COUNT(F2:F17)</f>
        <v>12</v>
      </c>
      <c r="G20" s="184">
        <f>COUNT(G2:G17)</f>
        <v>12</v>
      </c>
      <c r="H20" s="215" t="s">
        <v>259</v>
      </c>
    </row>
    <row r="21" spans="1:8" ht="12.75" hidden="1">
      <c r="A21" s="216" t="s">
        <v>235</v>
      </c>
      <c r="B21" s="184"/>
      <c r="C21" s="184">
        <v>1</v>
      </c>
      <c r="D21" s="184">
        <v>3</v>
      </c>
      <c r="E21" s="184"/>
      <c r="F21" s="184">
        <v>2</v>
      </c>
      <c r="G21" s="184">
        <v>6</v>
      </c>
      <c r="H21" s="215" t="s">
        <v>260</v>
      </c>
    </row>
    <row r="22" spans="1:8" ht="12.75" hidden="1">
      <c r="A22" s="217" t="s">
        <v>236</v>
      </c>
      <c r="B22" s="184"/>
      <c r="C22" s="184">
        <f>+C21*C18</f>
        <v>10</v>
      </c>
      <c r="D22" s="184">
        <f>+D21*D18</f>
        <v>15</v>
      </c>
      <c r="E22" s="184"/>
      <c r="F22" s="184">
        <f>+F21*F18</f>
        <v>6</v>
      </c>
      <c r="G22" s="184">
        <f>+G21*G18</f>
        <v>60</v>
      </c>
      <c r="H22" s="215" t="s">
        <v>261</v>
      </c>
    </row>
    <row r="23" spans="1:8" ht="12.75" hidden="1">
      <c r="A23" s="218" t="s">
        <v>237</v>
      </c>
      <c r="B23" s="184"/>
      <c r="C23" s="184"/>
      <c r="D23" s="184">
        <f>+D18*D21+C18</f>
        <v>25</v>
      </c>
      <c r="E23" s="184"/>
      <c r="F23" s="184">
        <f>+F18*F21+D23</f>
        <v>31</v>
      </c>
      <c r="G23" s="184">
        <f>+G18*G21+F23</f>
        <v>91</v>
      </c>
      <c r="H23" s="215" t="s">
        <v>262</v>
      </c>
    </row>
    <row r="24" spans="1:8" ht="12.75" hidden="1">
      <c r="A24" s="219" t="s">
        <v>238</v>
      </c>
      <c r="B24" s="184"/>
      <c r="C24" s="184"/>
      <c r="D24" s="184"/>
      <c r="E24" s="184"/>
      <c r="F24" s="184"/>
      <c r="G24" s="184"/>
      <c r="H24" s="184"/>
    </row>
    <row r="25" spans="1:8" ht="12.75" hidden="1">
      <c r="A25" s="220" t="s">
        <v>239</v>
      </c>
      <c r="B25" s="184"/>
      <c r="C25" s="184"/>
      <c r="D25" s="184"/>
      <c r="E25" s="184"/>
      <c r="F25" s="184"/>
      <c r="G25" s="184"/>
      <c r="H25" s="184"/>
    </row>
    <row r="26" spans="1:8" ht="12.75" hidden="1">
      <c r="A26" s="184"/>
      <c r="B26" s="184"/>
      <c r="C26" s="184"/>
      <c r="D26" s="184"/>
      <c r="E26" s="184"/>
      <c r="F26" s="184"/>
      <c r="G26" s="184"/>
      <c r="H26" s="184"/>
    </row>
    <row r="27" spans="1:8" ht="12.75" hidden="1">
      <c r="A27" s="184"/>
      <c r="B27" s="221" t="s">
        <v>263</v>
      </c>
      <c r="C27" s="184">
        <v>64</v>
      </c>
      <c r="D27" s="184"/>
      <c r="E27" s="184"/>
      <c r="F27" s="184"/>
      <c r="G27" s="184"/>
      <c r="H27" s="184"/>
    </row>
    <row r="28" spans="1:8" ht="12.75" hidden="1">
      <c r="A28" s="184"/>
      <c r="B28" s="221" t="s">
        <v>264</v>
      </c>
      <c r="C28" s="184">
        <f>COUNTIF(C2:G17,"&gt;0")+6</f>
        <v>64</v>
      </c>
      <c r="D28" s="184"/>
      <c r="E28" s="184"/>
      <c r="F28" s="184"/>
      <c r="G28" s="184"/>
      <c r="H28" s="184"/>
    </row>
    <row r="29" spans="1:8" ht="12.75" hidden="1">
      <c r="A29" s="184"/>
      <c r="B29" s="221" t="s">
        <v>265</v>
      </c>
      <c r="C29" s="184">
        <f>COUNTIF(C2:G17,"&gt;3")</f>
        <v>29</v>
      </c>
      <c r="D29" s="184"/>
      <c r="E29" s="184"/>
      <c r="F29" s="184"/>
      <c r="G29" s="184"/>
      <c r="H29" s="184"/>
    </row>
    <row r="30" spans="1:8" ht="12.75" hidden="1">
      <c r="A30" s="184"/>
      <c r="B30" s="221" t="s">
        <v>266</v>
      </c>
      <c r="C30" s="184">
        <f>COUNTIF(C2:G17,"&lt;5")+6</f>
        <v>44</v>
      </c>
      <c r="D30" s="184"/>
      <c r="E30" s="184"/>
      <c r="F30" s="184"/>
      <c r="G30" s="184"/>
      <c r="H30" s="184"/>
    </row>
    <row r="31" spans="1:8" ht="12.75" hidden="1">
      <c r="A31" s="184"/>
      <c r="B31" s="221" t="s">
        <v>267</v>
      </c>
      <c r="C31" s="184">
        <f>COUNTIF(C2:G17,"")</f>
        <v>22</v>
      </c>
      <c r="D31" s="184"/>
      <c r="E31" s="184"/>
      <c r="F31" s="184"/>
      <c r="G31" s="184"/>
      <c r="H31" s="184"/>
    </row>
    <row r="32" spans="1:8" ht="12.75" hidden="1">
      <c r="A32" s="184"/>
      <c r="B32" s="184"/>
      <c r="C32" s="184">
        <f>+C27-C31</f>
        <v>42</v>
      </c>
      <c r="D32" s="184"/>
      <c r="E32" s="184"/>
      <c r="F32" s="184"/>
      <c r="G32" s="184"/>
      <c r="H32" s="184"/>
    </row>
    <row r="33" spans="3:7" ht="12.75" hidden="1">
      <c r="C33" s="586" t="s">
        <v>137</v>
      </c>
      <c r="D33" s="586"/>
      <c r="E33" s="586"/>
      <c r="F33" s="586"/>
      <c r="G33" s="586"/>
    </row>
    <row r="34" spans="1:2" ht="12.75" hidden="1">
      <c r="A34" s="179">
        <v>1</v>
      </c>
      <c r="B34" s="43" t="s">
        <v>151</v>
      </c>
    </row>
    <row r="35" spans="1:2" ht="12.75" hidden="1">
      <c r="A35" s="179">
        <v>2</v>
      </c>
      <c r="B35" s="42" t="s">
        <v>150</v>
      </c>
    </row>
    <row r="36" spans="1:2" ht="12.75" hidden="1">
      <c r="A36" s="179">
        <v>3</v>
      </c>
      <c r="B36" s="41" t="s">
        <v>149</v>
      </c>
    </row>
    <row r="37" spans="1:2" ht="12.75" hidden="1">
      <c r="A37" s="179">
        <v>4</v>
      </c>
      <c r="B37" s="40" t="s">
        <v>148</v>
      </c>
    </row>
    <row r="38" spans="1:2" ht="12.75" hidden="1">
      <c r="A38" s="179">
        <v>5</v>
      </c>
      <c r="B38" s="39" t="s">
        <v>147</v>
      </c>
    </row>
    <row r="39" spans="2:7" ht="12.75" hidden="1">
      <c r="B39" s="222" t="s">
        <v>268</v>
      </c>
      <c r="C39" s="586" t="s">
        <v>138</v>
      </c>
      <c r="D39" s="586"/>
      <c r="E39" s="586"/>
      <c r="F39" s="586"/>
      <c r="G39" s="586"/>
    </row>
    <row r="40" spans="2:3" ht="12.75" hidden="1">
      <c r="B40" s="179" t="e">
        <f>+#REF!</f>
        <v>#REF!</v>
      </c>
      <c r="C40" s="179" t="e">
        <f>+$B$40*C34</f>
        <v>#REF!</v>
      </c>
    </row>
  </sheetData>
  <sheetProtection password="C979" sheet="1" objects="1" scenarios="1"/>
  <mergeCells count="8">
    <mergeCell ref="C33:G33"/>
    <mergeCell ref="C39:G39"/>
    <mergeCell ref="A1:B1"/>
    <mergeCell ref="A13:B13"/>
    <mergeCell ref="A14:B14"/>
    <mergeCell ref="A17:B17"/>
    <mergeCell ref="A6:B6"/>
    <mergeCell ref="A2:B2"/>
  </mergeCells>
  <printOptions/>
  <pageMargins left="0.75" right="0.75" top="1" bottom="1" header="0.5" footer="0.5"/>
  <pageSetup horizontalDpi="600" verticalDpi="600" orientation="landscape" scale="77" r:id="rId1"/>
  <colBreaks count="1" manualBreakCount="1">
    <brk id="8" max="65535" man="1"/>
  </colBreaks>
</worksheet>
</file>

<file path=xl/worksheets/sheet5.xml><?xml version="1.0" encoding="utf-8"?>
<worksheet xmlns="http://schemas.openxmlformats.org/spreadsheetml/2006/main" xmlns:r="http://schemas.openxmlformats.org/officeDocument/2006/relationships">
  <sheetPr codeName="Sheet6">
    <pageSetUpPr fitToPage="1"/>
  </sheetPr>
  <dimension ref="A1:Q58"/>
  <sheetViews>
    <sheetView zoomScale="75" zoomScaleNormal="75"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E10" sqref="E10"/>
    </sheetView>
  </sheetViews>
  <sheetFormatPr defaultColWidth="9.00390625" defaultRowHeight="15.75"/>
  <cols>
    <col min="1" max="1" width="41.125" style="165" customWidth="1"/>
    <col min="2" max="2" width="33.00390625" style="166" hidden="1" customWidth="1"/>
    <col min="3" max="3" width="5.875" style="166" hidden="1" customWidth="1"/>
    <col min="4" max="11" width="18.50390625" style="166" customWidth="1"/>
    <col min="12" max="12" width="9.00390625" style="166" customWidth="1"/>
    <col min="13" max="13" width="18.50390625" style="166" customWidth="1"/>
    <col min="14" max="16" width="9.00390625" style="102" customWidth="1"/>
    <col min="17" max="17" width="1.875" style="102" customWidth="1"/>
    <col min="18" max="16384" width="9.00390625" style="102" customWidth="1"/>
  </cols>
  <sheetData>
    <row r="1" spans="1:16" s="95" customFormat="1" ht="15.75" customHeight="1">
      <c r="A1" s="597" t="s">
        <v>207</v>
      </c>
      <c r="B1" s="94"/>
      <c r="C1" s="94"/>
      <c r="D1" s="599" t="s">
        <v>114</v>
      </c>
      <c r="E1" s="561" t="s">
        <v>116</v>
      </c>
      <c r="F1" s="562"/>
      <c r="G1" s="561" t="s">
        <v>115</v>
      </c>
      <c r="H1" s="563"/>
      <c r="I1" s="562"/>
      <c r="J1" s="599" t="s">
        <v>345</v>
      </c>
      <c r="K1" s="566" t="s">
        <v>117</v>
      </c>
      <c r="L1" s="567"/>
      <c r="M1" s="567"/>
      <c r="N1" s="567"/>
      <c r="O1" s="567"/>
      <c r="P1" s="568"/>
    </row>
    <row r="2" spans="1:17" ht="57" customHeight="1" thickBot="1">
      <c r="A2" s="598"/>
      <c r="B2" s="96"/>
      <c r="C2" s="96"/>
      <c r="D2" s="570"/>
      <c r="E2" s="97" t="s">
        <v>208</v>
      </c>
      <c r="F2" s="98" t="s">
        <v>209</v>
      </c>
      <c r="G2" s="99" t="s">
        <v>118</v>
      </c>
      <c r="H2" s="100" t="s">
        <v>210</v>
      </c>
      <c r="I2" s="98" t="s">
        <v>211</v>
      </c>
      <c r="J2" s="570"/>
      <c r="K2" s="99" t="s">
        <v>119</v>
      </c>
      <c r="L2" s="100" t="s">
        <v>212</v>
      </c>
      <c r="M2" s="100" t="s">
        <v>213</v>
      </c>
      <c r="N2" s="100" t="s">
        <v>118</v>
      </c>
      <c r="O2" s="101" t="s">
        <v>214</v>
      </c>
      <c r="P2" s="98" t="s">
        <v>215</v>
      </c>
      <c r="Q2" s="89" t="s">
        <v>203</v>
      </c>
    </row>
    <row r="3" spans="1:16" ht="26.25" thickBot="1">
      <c r="A3" s="103" t="s">
        <v>216</v>
      </c>
      <c r="B3" s="103"/>
      <c r="C3" s="103"/>
      <c r="D3" s="104"/>
      <c r="E3" s="105"/>
      <c r="F3" s="106"/>
      <c r="G3" s="105"/>
      <c r="H3" s="107"/>
      <c r="I3" s="106"/>
      <c r="J3" s="358"/>
      <c r="K3" s="105"/>
      <c r="L3" s="107"/>
      <c r="M3" s="107"/>
      <c r="N3" s="107"/>
      <c r="O3" s="108"/>
      <c r="P3" s="106"/>
    </row>
    <row r="4" spans="1:16" ht="31.5" customHeight="1" hidden="1">
      <c r="A4" s="109" t="s">
        <v>217</v>
      </c>
      <c r="B4" s="109"/>
      <c r="C4" s="109"/>
      <c r="D4" s="110" t="str">
        <f>PrimaryCOC</f>
        <v>Trichloroethene (TCE)</v>
      </c>
      <c r="E4" s="111" t="str">
        <f aca="true" t="shared" si="0" ref="E4:O4">$D$4</f>
        <v>Trichloroethene (TCE)</v>
      </c>
      <c r="F4" s="112" t="str">
        <f t="shared" si="0"/>
        <v>Trichloroethene (TCE)</v>
      </c>
      <c r="G4" s="111" t="str">
        <f t="shared" si="0"/>
        <v>Trichloroethene (TCE)</v>
      </c>
      <c r="H4" s="113" t="str">
        <f t="shared" si="0"/>
        <v>Trichloroethene (TCE)</v>
      </c>
      <c r="I4" s="112" t="str">
        <f t="shared" si="0"/>
        <v>Trichloroethene (TCE)</v>
      </c>
      <c r="J4" s="359"/>
      <c r="K4" s="111" t="str">
        <f t="shared" si="0"/>
        <v>Trichloroethene (TCE)</v>
      </c>
      <c r="L4" s="113" t="str">
        <f t="shared" si="0"/>
        <v>Trichloroethene (TCE)</v>
      </c>
      <c r="M4" s="113" t="str">
        <f t="shared" si="0"/>
        <v>Trichloroethene (TCE)</v>
      </c>
      <c r="N4" s="113" t="str">
        <f t="shared" si="0"/>
        <v>Trichloroethene (TCE)</v>
      </c>
      <c r="O4" s="113" t="str">
        <f t="shared" si="0"/>
        <v>Trichloroethene (TCE)</v>
      </c>
      <c r="P4" s="112" t="str">
        <f>$D$4</f>
        <v>Trichloroethene (TCE)</v>
      </c>
    </row>
    <row r="5" spans="1:16" ht="31.5" customHeight="1" hidden="1" thickBot="1">
      <c r="A5" s="114" t="s">
        <v>218</v>
      </c>
      <c r="B5" s="114"/>
      <c r="C5" s="114"/>
      <c r="D5" s="115">
        <f>SecondaryCOC</f>
      </c>
      <c r="E5" s="111">
        <f>$D5</f>
      </c>
      <c r="F5" s="111">
        <f aca="true" t="shared" si="1" ref="F5:O5">$D5</f>
      </c>
      <c r="G5" s="111">
        <f t="shared" si="1"/>
      </c>
      <c r="H5" s="111">
        <f t="shared" si="1"/>
      </c>
      <c r="I5" s="111">
        <f t="shared" si="1"/>
      </c>
      <c r="J5" s="111"/>
      <c r="K5" s="111">
        <f t="shared" si="1"/>
      </c>
      <c r="L5" s="111">
        <f t="shared" si="1"/>
      </c>
      <c r="M5" s="111">
        <f t="shared" si="1"/>
      </c>
      <c r="N5" s="111">
        <f t="shared" si="1"/>
      </c>
      <c r="O5" s="111">
        <f t="shared" si="1"/>
      </c>
      <c r="P5" s="111">
        <f>$D5</f>
      </c>
    </row>
    <row r="6" spans="1:16" ht="15.75">
      <c r="A6" s="103" t="s">
        <v>51</v>
      </c>
      <c r="B6" s="103"/>
      <c r="C6" s="103"/>
      <c r="D6" s="104"/>
      <c r="E6" s="105"/>
      <c r="F6" s="106"/>
      <c r="G6" s="105"/>
      <c r="H6" s="116"/>
      <c r="I6" s="106"/>
      <c r="J6" s="358"/>
      <c r="K6" s="105"/>
      <c r="L6" s="107"/>
      <c r="M6" s="107"/>
      <c r="N6" s="107"/>
      <c r="O6" s="108"/>
      <c r="P6" s="106"/>
    </row>
    <row r="7" spans="1:16" ht="15.75">
      <c r="A7" s="117" t="s">
        <v>219</v>
      </c>
      <c r="B7" s="117"/>
      <c r="C7" s="117"/>
      <c r="D7" s="118" t="s">
        <v>151</v>
      </c>
      <c r="E7" s="119" t="s">
        <v>151</v>
      </c>
      <c r="F7" s="120" t="s">
        <v>151</v>
      </c>
      <c r="G7" s="119" t="s">
        <v>151</v>
      </c>
      <c r="H7" s="121" t="s">
        <v>151</v>
      </c>
      <c r="I7" s="120" t="s">
        <v>151</v>
      </c>
      <c r="J7" s="480" t="s">
        <v>308</v>
      </c>
      <c r="K7" s="153" t="s">
        <v>308</v>
      </c>
      <c r="L7" s="121" t="s">
        <v>151</v>
      </c>
      <c r="M7" s="121" t="s">
        <v>151</v>
      </c>
      <c r="N7" s="121" t="s">
        <v>151</v>
      </c>
      <c r="O7" s="122" t="s">
        <v>151</v>
      </c>
      <c r="P7" s="120" t="s">
        <v>151</v>
      </c>
    </row>
    <row r="8" spans="1:16" ht="15.75">
      <c r="A8" s="117" t="s">
        <v>220</v>
      </c>
      <c r="B8" s="117"/>
      <c r="C8" s="117"/>
      <c r="D8" s="118" t="s">
        <v>151</v>
      </c>
      <c r="E8" s="119" t="s">
        <v>151</v>
      </c>
      <c r="F8" s="120" t="s">
        <v>151</v>
      </c>
      <c r="G8" s="119" t="s">
        <v>151</v>
      </c>
      <c r="H8" s="121" t="s">
        <v>151</v>
      </c>
      <c r="I8" s="120" t="s">
        <v>151</v>
      </c>
      <c r="J8" s="484" t="s">
        <v>149</v>
      </c>
      <c r="K8" s="123" t="s">
        <v>148</v>
      </c>
      <c r="L8" s="121" t="s">
        <v>151</v>
      </c>
      <c r="M8" s="121" t="s">
        <v>151</v>
      </c>
      <c r="N8" s="121" t="s">
        <v>151</v>
      </c>
      <c r="O8" s="122" t="s">
        <v>151</v>
      </c>
      <c r="P8" s="120" t="s">
        <v>151</v>
      </c>
    </row>
    <row r="9" spans="1:16" ht="15.75">
      <c r="A9" s="117" t="s">
        <v>221</v>
      </c>
      <c r="B9" s="117"/>
      <c r="C9" s="117"/>
      <c r="D9" s="118" t="s">
        <v>151</v>
      </c>
      <c r="E9" s="119" t="s">
        <v>151</v>
      </c>
      <c r="F9" s="120" t="s">
        <v>151</v>
      </c>
      <c r="G9" s="119" t="s">
        <v>151</v>
      </c>
      <c r="H9" s="124" t="s">
        <v>150</v>
      </c>
      <c r="I9" s="125" t="s">
        <v>150</v>
      </c>
      <c r="J9" s="482" t="s">
        <v>150</v>
      </c>
      <c r="K9" s="126" t="s">
        <v>149</v>
      </c>
      <c r="L9" s="121" t="s">
        <v>151</v>
      </c>
      <c r="M9" s="124" t="s">
        <v>150</v>
      </c>
      <c r="N9" s="121" t="s">
        <v>151</v>
      </c>
      <c r="O9" s="122" t="s">
        <v>151</v>
      </c>
      <c r="P9" s="120" t="s">
        <v>151</v>
      </c>
    </row>
    <row r="10" spans="1:16" ht="15.75">
      <c r="A10" s="117" t="s">
        <v>52</v>
      </c>
      <c r="B10" s="117"/>
      <c r="C10" s="117"/>
      <c r="D10" s="118" t="s">
        <v>151</v>
      </c>
      <c r="E10" s="127" t="s">
        <v>150</v>
      </c>
      <c r="F10" s="125" t="s">
        <v>150</v>
      </c>
      <c r="G10" s="127" t="s">
        <v>150</v>
      </c>
      <c r="H10" s="128" t="s">
        <v>149</v>
      </c>
      <c r="I10" s="129" t="s">
        <v>149</v>
      </c>
      <c r="J10" s="479" t="s">
        <v>151</v>
      </c>
      <c r="K10" s="127" t="s">
        <v>150</v>
      </c>
      <c r="L10" s="121" t="s">
        <v>151</v>
      </c>
      <c r="M10" s="128" t="s">
        <v>149</v>
      </c>
      <c r="N10" s="124" t="s">
        <v>150</v>
      </c>
      <c r="O10" s="130" t="s">
        <v>150</v>
      </c>
      <c r="P10" s="125" t="s">
        <v>150</v>
      </c>
    </row>
    <row r="11" spans="1:16" ht="15.75">
      <c r="A11" s="117" t="s">
        <v>222</v>
      </c>
      <c r="B11" s="117"/>
      <c r="C11" s="117"/>
      <c r="D11" s="118" t="s">
        <v>151</v>
      </c>
      <c r="E11" s="127" t="s">
        <v>150</v>
      </c>
      <c r="F11" s="129" t="s">
        <v>149</v>
      </c>
      <c r="G11" s="127" t="s">
        <v>150</v>
      </c>
      <c r="H11" s="131" t="s">
        <v>148</v>
      </c>
      <c r="I11" s="132" t="s">
        <v>148</v>
      </c>
      <c r="J11" s="479" t="s">
        <v>151</v>
      </c>
      <c r="K11" s="119" t="s">
        <v>151</v>
      </c>
      <c r="L11" s="124" t="s">
        <v>150</v>
      </c>
      <c r="M11" s="131" t="s">
        <v>148</v>
      </c>
      <c r="N11" s="124" t="s">
        <v>150</v>
      </c>
      <c r="O11" s="133" t="s">
        <v>149</v>
      </c>
      <c r="P11" s="129" t="s">
        <v>149</v>
      </c>
    </row>
    <row r="12" spans="1:16" ht="16.5" thickBot="1">
      <c r="A12" s="134" t="s">
        <v>223</v>
      </c>
      <c r="B12" s="134"/>
      <c r="C12" s="134"/>
      <c r="D12" s="135" t="s">
        <v>150</v>
      </c>
      <c r="E12" s="136" t="s">
        <v>149</v>
      </c>
      <c r="F12" s="137" t="s">
        <v>148</v>
      </c>
      <c r="G12" s="138" t="s">
        <v>148</v>
      </c>
      <c r="H12" s="153" t="s">
        <v>308</v>
      </c>
      <c r="I12" s="153" t="s">
        <v>308</v>
      </c>
      <c r="J12" s="479" t="s">
        <v>151</v>
      </c>
      <c r="K12" s="139" t="s">
        <v>151</v>
      </c>
      <c r="L12" s="140" t="s">
        <v>149</v>
      </c>
      <c r="M12" s="153" t="s">
        <v>308</v>
      </c>
      <c r="N12" s="141" t="s">
        <v>148</v>
      </c>
      <c r="O12" s="142" t="s">
        <v>148</v>
      </c>
      <c r="P12" s="137" t="s">
        <v>148</v>
      </c>
    </row>
    <row r="13" spans="1:16" ht="15.75">
      <c r="A13" s="103" t="s">
        <v>240</v>
      </c>
      <c r="B13" s="103"/>
      <c r="C13" s="103"/>
      <c r="D13" s="143"/>
      <c r="E13" s="144"/>
      <c r="F13" s="145"/>
      <c r="G13" s="144"/>
      <c r="H13" s="146"/>
      <c r="I13" s="145"/>
      <c r="J13" s="360"/>
      <c r="K13" s="144"/>
      <c r="L13" s="147"/>
      <c r="M13" s="147"/>
      <c r="N13" s="147"/>
      <c r="O13" s="108"/>
      <c r="P13" s="145"/>
    </row>
    <row r="14" spans="1:16" ht="15.75">
      <c r="A14" s="117" t="s">
        <v>53</v>
      </c>
      <c r="B14" s="117"/>
      <c r="C14" s="117"/>
      <c r="D14" s="118" t="s">
        <v>151</v>
      </c>
      <c r="E14" s="119" t="s">
        <v>151</v>
      </c>
      <c r="F14" s="120" t="s">
        <v>151</v>
      </c>
      <c r="G14" s="119" t="s">
        <v>151</v>
      </c>
      <c r="H14" s="121" t="s">
        <v>151</v>
      </c>
      <c r="I14" s="120" t="s">
        <v>151</v>
      </c>
      <c r="J14" s="479" t="s">
        <v>151</v>
      </c>
      <c r="K14" s="119" t="s">
        <v>151</v>
      </c>
      <c r="L14" s="121" t="s">
        <v>151</v>
      </c>
      <c r="M14" s="121" t="s">
        <v>151</v>
      </c>
      <c r="N14" s="121" t="s">
        <v>151</v>
      </c>
      <c r="O14" s="122" t="s">
        <v>151</v>
      </c>
      <c r="P14" s="120" t="s">
        <v>151</v>
      </c>
    </row>
    <row r="15" spans="1:16" ht="15.75">
      <c r="A15" s="117" t="s">
        <v>55</v>
      </c>
      <c r="B15" s="117"/>
      <c r="C15" s="117"/>
      <c r="D15" s="118" t="s">
        <v>151</v>
      </c>
      <c r="E15" s="119" t="s">
        <v>151</v>
      </c>
      <c r="F15" s="120" t="s">
        <v>151</v>
      </c>
      <c r="G15" s="119" t="s">
        <v>151</v>
      </c>
      <c r="H15" s="121" t="s">
        <v>151</v>
      </c>
      <c r="I15" s="120" t="s">
        <v>151</v>
      </c>
      <c r="J15" s="479" t="s">
        <v>151</v>
      </c>
      <c r="K15" s="119" t="s">
        <v>151</v>
      </c>
      <c r="L15" s="121" t="s">
        <v>151</v>
      </c>
      <c r="M15" s="121" t="s">
        <v>151</v>
      </c>
      <c r="N15" s="121" t="s">
        <v>151</v>
      </c>
      <c r="O15" s="122" t="s">
        <v>151</v>
      </c>
      <c r="P15" s="120" t="s">
        <v>151</v>
      </c>
    </row>
    <row r="16" spans="1:16" ht="15.75">
      <c r="A16" s="117" t="s">
        <v>224</v>
      </c>
      <c r="B16" s="117"/>
      <c r="C16" s="117"/>
      <c r="D16" s="118" t="s">
        <v>151</v>
      </c>
      <c r="E16" s="127" t="s">
        <v>150</v>
      </c>
      <c r="F16" s="125" t="s">
        <v>150</v>
      </c>
      <c r="G16" s="127" t="s">
        <v>150</v>
      </c>
      <c r="H16" s="124" t="s">
        <v>150</v>
      </c>
      <c r="I16" s="125" t="s">
        <v>150</v>
      </c>
      <c r="J16" s="479" t="s">
        <v>151</v>
      </c>
      <c r="K16" s="119" t="s">
        <v>151</v>
      </c>
      <c r="L16" s="124" t="s">
        <v>150</v>
      </c>
      <c r="M16" s="124" t="s">
        <v>150</v>
      </c>
      <c r="N16" s="124" t="s">
        <v>150</v>
      </c>
      <c r="O16" s="130" t="s">
        <v>150</v>
      </c>
      <c r="P16" s="125" t="s">
        <v>150</v>
      </c>
    </row>
    <row r="17" spans="1:16" ht="16.5" thickBot="1">
      <c r="A17" s="134" t="s">
        <v>225</v>
      </c>
      <c r="B17" s="134"/>
      <c r="C17" s="134"/>
      <c r="D17" s="148" t="s">
        <v>151</v>
      </c>
      <c r="E17" s="149" t="s">
        <v>150</v>
      </c>
      <c r="F17" s="150" t="s">
        <v>149</v>
      </c>
      <c r="G17" s="136" t="s">
        <v>149</v>
      </c>
      <c r="H17" s="140" t="s">
        <v>149</v>
      </c>
      <c r="I17" s="150" t="s">
        <v>149</v>
      </c>
      <c r="J17" s="479" t="s">
        <v>151</v>
      </c>
      <c r="K17" s="139" t="s">
        <v>151</v>
      </c>
      <c r="L17" s="140" t="s">
        <v>149</v>
      </c>
      <c r="M17" s="140" t="s">
        <v>149</v>
      </c>
      <c r="N17" s="140" t="s">
        <v>149</v>
      </c>
      <c r="O17" s="151" t="s">
        <v>149</v>
      </c>
      <c r="P17" s="150" t="s">
        <v>149</v>
      </c>
    </row>
    <row r="18" spans="1:16" ht="44.25" customHeight="1">
      <c r="A18" s="103" t="s">
        <v>226</v>
      </c>
      <c r="B18" s="103"/>
      <c r="C18" s="103"/>
      <c r="D18" s="143"/>
      <c r="E18" s="144"/>
      <c r="F18" s="145"/>
      <c r="G18" s="144"/>
      <c r="H18" s="146"/>
      <c r="I18" s="145"/>
      <c r="J18" s="360"/>
      <c r="K18" s="144"/>
      <c r="L18" s="147"/>
      <c r="M18" s="147"/>
      <c r="N18" s="147"/>
      <c r="O18" s="108"/>
      <c r="P18" s="145"/>
    </row>
    <row r="19" spans="1:16" ht="15.75">
      <c r="A19" s="117" t="s">
        <v>53</v>
      </c>
      <c r="B19" s="117"/>
      <c r="C19" s="117"/>
      <c r="D19" s="118" t="s">
        <v>151</v>
      </c>
      <c r="E19" s="119" t="s">
        <v>151</v>
      </c>
      <c r="F19" s="120" t="s">
        <v>151</v>
      </c>
      <c r="G19" s="119" t="s">
        <v>151</v>
      </c>
      <c r="H19" s="121" t="s">
        <v>151</v>
      </c>
      <c r="I19" s="120" t="s">
        <v>151</v>
      </c>
      <c r="J19" s="479" t="s">
        <v>151</v>
      </c>
      <c r="K19" s="119" t="s">
        <v>151</v>
      </c>
      <c r="L19" s="121" t="s">
        <v>151</v>
      </c>
      <c r="M19" s="121" t="s">
        <v>151</v>
      </c>
      <c r="N19" s="121" t="s">
        <v>151</v>
      </c>
      <c r="O19" s="122" t="s">
        <v>151</v>
      </c>
      <c r="P19" s="120" t="s">
        <v>151</v>
      </c>
    </row>
    <row r="20" spans="1:16" ht="15.75">
      <c r="A20" s="117" t="s">
        <v>55</v>
      </c>
      <c r="B20" s="117"/>
      <c r="C20" s="117"/>
      <c r="D20" s="118" t="s">
        <v>151</v>
      </c>
      <c r="E20" s="119" t="s">
        <v>151</v>
      </c>
      <c r="F20" s="120" t="s">
        <v>151</v>
      </c>
      <c r="G20" s="119" t="s">
        <v>151</v>
      </c>
      <c r="H20" s="121" t="s">
        <v>151</v>
      </c>
      <c r="I20" s="120" t="s">
        <v>151</v>
      </c>
      <c r="J20" s="479" t="s">
        <v>151</v>
      </c>
      <c r="K20" s="119" t="s">
        <v>151</v>
      </c>
      <c r="L20" s="124" t="s">
        <v>150</v>
      </c>
      <c r="M20" s="121" t="s">
        <v>151</v>
      </c>
      <c r="N20" s="121" t="s">
        <v>151</v>
      </c>
      <c r="O20" s="122" t="s">
        <v>151</v>
      </c>
      <c r="P20" s="120" t="s">
        <v>151</v>
      </c>
    </row>
    <row r="21" spans="1:16" ht="15.75">
      <c r="A21" s="117" t="s">
        <v>224</v>
      </c>
      <c r="B21" s="117"/>
      <c r="C21" s="117"/>
      <c r="D21" s="118" t="s">
        <v>151</v>
      </c>
      <c r="E21" s="127" t="s">
        <v>150</v>
      </c>
      <c r="F21" s="125" t="s">
        <v>150</v>
      </c>
      <c r="G21" s="127" t="s">
        <v>150</v>
      </c>
      <c r="H21" s="124" t="s">
        <v>150</v>
      </c>
      <c r="I21" s="125" t="s">
        <v>150</v>
      </c>
      <c r="J21" s="482" t="s">
        <v>150</v>
      </c>
      <c r="K21" s="127" t="s">
        <v>150</v>
      </c>
      <c r="L21" s="128" t="s">
        <v>149</v>
      </c>
      <c r="M21" s="124" t="s">
        <v>150</v>
      </c>
      <c r="N21" s="124" t="s">
        <v>150</v>
      </c>
      <c r="O21" s="130" t="s">
        <v>150</v>
      </c>
      <c r="P21" s="125" t="s">
        <v>150</v>
      </c>
    </row>
    <row r="22" spans="1:16" ht="15.75">
      <c r="A22" s="117" t="s">
        <v>227</v>
      </c>
      <c r="B22" s="117"/>
      <c r="C22" s="117"/>
      <c r="D22" s="118" t="s">
        <v>151</v>
      </c>
      <c r="E22" s="126" t="s">
        <v>149</v>
      </c>
      <c r="F22" s="129" t="s">
        <v>149</v>
      </c>
      <c r="G22" s="126" t="s">
        <v>149</v>
      </c>
      <c r="H22" s="128" t="s">
        <v>149</v>
      </c>
      <c r="I22" s="129" t="s">
        <v>149</v>
      </c>
      <c r="J22" s="484" t="s">
        <v>149</v>
      </c>
      <c r="K22" s="126" t="s">
        <v>149</v>
      </c>
      <c r="L22" s="131" t="s">
        <v>148</v>
      </c>
      <c r="M22" s="128" t="s">
        <v>149</v>
      </c>
      <c r="N22" s="128" t="s">
        <v>149</v>
      </c>
      <c r="O22" s="133" t="s">
        <v>149</v>
      </c>
      <c r="P22" s="129" t="s">
        <v>149</v>
      </c>
    </row>
    <row r="23" spans="1:16" ht="16.5" thickBot="1">
      <c r="A23" s="134" t="s">
        <v>228</v>
      </c>
      <c r="B23" s="134"/>
      <c r="C23" s="134"/>
      <c r="D23" s="135" t="s">
        <v>150</v>
      </c>
      <c r="E23" s="138" t="s">
        <v>148</v>
      </c>
      <c r="F23" s="137" t="s">
        <v>148</v>
      </c>
      <c r="G23" s="138" t="s">
        <v>148</v>
      </c>
      <c r="H23" s="141" t="s">
        <v>148</v>
      </c>
      <c r="I23" s="137" t="s">
        <v>148</v>
      </c>
      <c r="J23" s="481" t="s">
        <v>148</v>
      </c>
      <c r="K23" s="138" t="s">
        <v>148</v>
      </c>
      <c r="L23" s="141" t="s">
        <v>148</v>
      </c>
      <c r="M23" s="141" t="s">
        <v>148</v>
      </c>
      <c r="N23" s="141" t="s">
        <v>148</v>
      </c>
      <c r="O23" s="142" t="s">
        <v>148</v>
      </c>
      <c r="P23" s="137" t="s">
        <v>148</v>
      </c>
    </row>
    <row r="24" spans="1:16" ht="30.75" customHeight="1">
      <c r="A24" s="152" t="s">
        <v>229</v>
      </c>
      <c r="B24" s="152"/>
      <c r="C24" s="152"/>
      <c r="D24" s="143"/>
      <c r="E24" s="144"/>
      <c r="F24" s="145"/>
      <c r="G24" s="144"/>
      <c r="H24" s="146"/>
      <c r="I24" s="145"/>
      <c r="J24" s="360"/>
      <c r="K24" s="144"/>
      <c r="L24" s="147"/>
      <c r="M24" s="147"/>
      <c r="N24" s="147"/>
      <c r="O24" s="108"/>
      <c r="P24" s="145"/>
    </row>
    <row r="25" spans="1:16" ht="15.75">
      <c r="A25" s="117" t="s">
        <v>230</v>
      </c>
      <c r="B25" s="117"/>
      <c r="C25" s="117"/>
      <c r="D25" s="153" t="s">
        <v>308</v>
      </c>
      <c r="E25" s="153" t="s">
        <v>308</v>
      </c>
      <c r="F25" s="153" t="s">
        <v>308</v>
      </c>
      <c r="G25" s="153" t="s">
        <v>308</v>
      </c>
      <c r="H25" s="153" t="s">
        <v>308</v>
      </c>
      <c r="I25" s="153" t="s">
        <v>308</v>
      </c>
      <c r="J25" s="480" t="s">
        <v>308</v>
      </c>
      <c r="K25" s="123" t="s">
        <v>148</v>
      </c>
      <c r="L25" s="131" t="s">
        <v>148</v>
      </c>
      <c r="M25" s="131" t="s">
        <v>148</v>
      </c>
      <c r="N25" s="131" t="s">
        <v>148</v>
      </c>
      <c r="O25" s="154" t="s">
        <v>148</v>
      </c>
      <c r="P25" s="132" t="s">
        <v>148</v>
      </c>
    </row>
    <row r="26" spans="1:16" ht="15.75">
      <c r="A26" s="117" t="s">
        <v>231</v>
      </c>
      <c r="B26" s="117"/>
      <c r="C26" s="117"/>
      <c r="D26" s="155" t="s">
        <v>148</v>
      </c>
      <c r="E26" s="123" t="s">
        <v>148</v>
      </c>
      <c r="F26" s="132" t="s">
        <v>148</v>
      </c>
      <c r="G26" s="123" t="s">
        <v>148</v>
      </c>
      <c r="H26" s="131" t="s">
        <v>148</v>
      </c>
      <c r="I26" s="132" t="s">
        <v>148</v>
      </c>
      <c r="J26" s="481" t="s">
        <v>148</v>
      </c>
      <c r="K26" s="126" t="s">
        <v>149</v>
      </c>
      <c r="L26" s="128" t="s">
        <v>149</v>
      </c>
      <c r="M26" s="128" t="s">
        <v>149</v>
      </c>
      <c r="N26" s="128" t="s">
        <v>149</v>
      </c>
      <c r="O26" s="133" t="s">
        <v>149</v>
      </c>
      <c r="P26" s="129" t="s">
        <v>149</v>
      </c>
    </row>
    <row r="27" spans="1:16" ht="15.75">
      <c r="A27" s="117" t="s">
        <v>232</v>
      </c>
      <c r="B27" s="117"/>
      <c r="C27" s="117"/>
      <c r="D27" s="156" t="s">
        <v>150</v>
      </c>
      <c r="E27" s="127" t="s">
        <v>150</v>
      </c>
      <c r="F27" s="125" t="s">
        <v>150</v>
      </c>
      <c r="G27" s="127" t="s">
        <v>150</v>
      </c>
      <c r="H27" s="124" t="s">
        <v>150</v>
      </c>
      <c r="I27" s="125" t="s">
        <v>150</v>
      </c>
      <c r="J27" s="482" t="s">
        <v>150</v>
      </c>
      <c r="K27" s="119" t="s">
        <v>151</v>
      </c>
      <c r="L27" s="121" t="s">
        <v>151</v>
      </c>
      <c r="M27" s="121" t="s">
        <v>151</v>
      </c>
      <c r="N27" s="121" t="s">
        <v>151</v>
      </c>
      <c r="O27" s="122" t="s">
        <v>151</v>
      </c>
      <c r="P27" s="120" t="s">
        <v>151</v>
      </c>
    </row>
    <row r="28" spans="1:16" ht="15.75">
      <c r="A28" s="117" t="s">
        <v>57</v>
      </c>
      <c r="B28" s="117"/>
      <c r="C28" s="117"/>
      <c r="D28" s="118" t="s">
        <v>151</v>
      </c>
      <c r="E28" s="119" t="s">
        <v>151</v>
      </c>
      <c r="F28" s="120" t="s">
        <v>151</v>
      </c>
      <c r="G28" s="119" t="s">
        <v>151</v>
      </c>
      <c r="H28" s="121" t="s">
        <v>151</v>
      </c>
      <c r="I28" s="120" t="s">
        <v>151</v>
      </c>
      <c r="J28" s="479" t="s">
        <v>151</v>
      </c>
      <c r="K28" s="119" t="s">
        <v>151</v>
      </c>
      <c r="L28" s="121" t="s">
        <v>151</v>
      </c>
      <c r="M28" s="121" t="s">
        <v>151</v>
      </c>
      <c r="N28" s="121" t="s">
        <v>151</v>
      </c>
      <c r="O28" s="122" t="s">
        <v>151</v>
      </c>
      <c r="P28" s="120" t="s">
        <v>151</v>
      </c>
    </row>
    <row r="29" spans="1:16" ht="16.5" thickBot="1">
      <c r="A29" s="134" t="s">
        <v>233</v>
      </c>
      <c r="B29" s="134"/>
      <c r="C29" s="134"/>
      <c r="D29" s="148" t="s">
        <v>151</v>
      </c>
      <c r="E29" s="139" t="s">
        <v>151</v>
      </c>
      <c r="F29" s="157" t="s">
        <v>151</v>
      </c>
      <c r="G29" s="139" t="s">
        <v>151</v>
      </c>
      <c r="H29" s="158" t="s">
        <v>151</v>
      </c>
      <c r="I29" s="157" t="s">
        <v>151</v>
      </c>
      <c r="J29" s="479" t="s">
        <v>151</v>
      </c>
      <c r="K29" s="139" t="s">
        <v>151</v>
      </c>
      <c r="L29" s="158" t="s">
        <v>151</v>
      </c>
      <c r="M29" s="158" t="s">
        <v>151</v>
      </c>
      <c r="N29" s="158" t="s">
        <v>151</v>
      </c>
      <c r="O29" s="159" t="s">
        <v>151</v>
      </c>
      <c r="P29" s="157" t="s">
        <v>151</v>
      </c>
    </row>
    <row r="30" spans="1:16" ht="15.75">
      <c r="A30" s="152" t="s">
        <v>58</v>
      </c>
      <c r="B30" s="152"/>
      <c r="C30" s="152"/>
      <c r="D30" s="143"/>
      <c r="E30" s="144"/>
      <c r="F30" s="145"/>
      <c r="G30" s="144"/>
      <c r="H30" s="147"/>
      <c r="I30" s="145"/>
      <c r="J30" s="360"/>
      <c r="K30" s="144"/>
      <c r="L30" s="147"/>
      <c r="M30" s="147"/>
      <c r="N30" s="147"/>
      <c r="O30" s="108"/>
      <c r="P30" s="145"/>
    </row>
    <row r="31" spans="1:16" ht="15.75">
      <c r="A31" s="160" t="s">
        <v>241</v>
      </c>
      <c r="B31" s="161"/>
      <c r="C31" s="161"/>
      <c r="D31" s="156" t="s">
        <v>150</v>
      </c>
      <c r="E31" s="119" t="s">
        <v>151</v>
      </c>
      <c r="F31" s="120" t="s">
        <v>151</v>
      </c>
      <c r="G31" s="119" t="s">
        <v>151</v>
      </c>
      <c r="H31" s="121" t="s">
        <v>151</v>
      </c>
      <c r="I31" s="120" t="s">
        <v>151</v>
      </c>
      <c r="J31" s="479" t="s">
        <v>151</v>
      </c>
      <c r="K31" s="127" t="s">
        <v>150</v>
      </c>
      <c r="L31" s="124" t="s">
        <v>150</v>
      </c>
      <c r="M31" s="124" t="s">
        <v>150</v>
      </c>
      <c r="N31" s="124" t="s">
        <v>150</v>
      </c>
      <c r="O31" s="130" t="s">
        <v>150</v>
      </c>
      <c r="P31" s="125" t="s">
        <v>150</v>
      </c>
    </row>
    <row r="32" spans="1:16" ht="15.75">
      <c r="A32" s="160" t="s">
        <v>283</v>
      </c>
      <c r="B32" s="161"/>
      <c r="C32" s="161"/>
      <c r="D32" s="118" t="s">
        <v>151</v>
      </c>
      <c r="E32" s="119" t="s">
        <v>151</v>
      </c>
      <c r="F32" s="120" t="s">
        <v>151</v>
      </c>
      <c r="G32" s="119" t="s">
        <v>151</v>
      </c>
      <c r="H32" s="121" t="s">
        <v>151</v>
      </c>
      <c r="I32" s="120" t="s">
        <v>151</v>
      </c>
      <c r="J32" s="479" t="s">
        <v>151</v>
      </c>
      <c r="K32" s="119" t="s">
        <v>151</v>
      </c>
      <c r="L32" s="121" t="s">
        <v>151</v>
      </c>
      <c r="M32" s="121" t="s">
        <v>151</v>
      </c>
      <c r="N32" s="121" t="s">
        <v>151</v>
      </c>
      <c r="O32" s="122" t="s">
        <v>151</v>
      </c>
      <c r="P32" s="120" t="s">
        <v>151</v>
      </c>
    </row>
    <row r="33" spans="1:16" ht="15.75">
      <c r="A33" s="160" t="s">
        <v>81</v>
      </c>
      <c r="B33" s="161"/>
      <c r="C33" s="161"/>
      <c r="D33" s="118" t="s">
        <v>151</v>
      </c>
      <c r="E33" s="119" t="s">
        <v>151</v>
      </c>
      <c r="F33" s="120" t="s">
        <v>151</v>
      </c>
      <c r="G33" s="119" t="s">
        <v>151</v>
      </c>
      <c r="H33" s="121" t="s">
        <v>151</v>
      </c>
      <c r="I33" s="120" t="s">
        <v>151</v>
      </c>
      <c r="J33" s="479" t="s">
        <v>151</v>
      </c>
      <c r="K33" s="119" t="s">
        <v>151</v>
      </c>
      <c r="L33" s="121" t="s">
        <v>151</v>
      </c>
      <c r="M33" s="121" t="s">
        <v>151</v>
      </c>
      <c r="N33" s="121" t="s">
        <v>151</v>
      </c>
      <c r="O33" s="130" t="s">
        <v>150</v>
      </c>
      <c r="P33" s="120" t="s">
        <v>151</v>
      </c>
    </row>
    <row r="34" spans="1:16" ht="15.75">
      <c r="A34" s="160" t="s">
        <v>284</v>
      </c>
      <c r="B34" s="161"/>
      <c r="C34" s="161"/>
      <c r="D34" s="156" t="s">
        <v>150</v>
      </c>
      <c r="E34" s="126" t="s">
        <v>149</v>
      </c>
      <c r="F34" s="129" t="s">
        <v>149</v>
      </c>
      <c r="G34" s="127" t="s">
        <v>150</v>
      </c>
      <c r="H34" s="124" t="s">
        <v>150</v>
      </c>
      <c r="I34" s="125" t="s">
        <v>150</v>
      </c>
      <c r="J34" s="482" t="s">
        <v>150</v>
      </c>
      <c r="K34" s="127" t="s">
        <v>150</v>
      </c>
      <c r="L34" s="124" t="s">
        <v>150</v>
      </c>
      <c r="M34" s="124" t="s">
        <v>150</v>
      </c>
      <c r="N34" s="124" t="s">
        <v>150</v>
      </c>
      <c r="O34" s="133" t="s">
        <v>149</v>
      </c>
      <c r="P34" s="125" t="s">
        <v>150</v>
      </c>
    </row>
    <row r="35" spans="1:16" ht="16.5" thickBot="1">
      <c r="A35" s="259" t="s">
        <v>285</v>
      </c>
      <c r="B35" s="162"/>
      <c r="C35" s="162"/>
      <c r="D35" s="135" t="s">
        <v>150</v>
      </c>
      <c r="E35" s="138" t="s">
        <v>148</v>
      </c>
      <c r="F35" s="137" t="s">
        <v>148</v>
      </c>
      <c r="G35" s="136" t="s">
        <v>149</v>
      </c>
      <c r="H35" s="140" t="s">
        <v>149</v>
      </c>
      <c r="I35" s="150" t="s">
        <v>149</v>
      </c>
      <c r="J35" s="483" t="s">
        <v>149</v>
      </c>
      <c r="K35" s="149" t="s">
        <v>150</v>
      </c>
      <c r="L35" s="163" t="s">
        <v>150</v>
      </c>
      <c r="M35" s="140" t="s">
        <v>149</v>
      </c>
      <c r="N35" s="140" t="s">
        <v>149</v>
      </c>
      <c r="O35" s="151" t="s">
        <v>149</v>
      </c>
      <c r="P35" s="164" t="s">
        <v>150</v>
      </c>
    </row>
    <row r="36" spans="2:14" ht="12.75">
      <c r="B36" s="165"/>
      <c r="N36" s="166"/>
    </row>
    <row r="37" spans="1:17" ht="15.75" hidden="1">
      <c r="A37" s="292" t="str">
        <f>A6</f>
        <v>pH range</v>
      </c>
      <c r="B37" s="167" t="str">
        <f>Entry!B31</f>
        <v>6-7</v>
      </c>
      <c r="C37" s="168">
        <f>MATCH(B37,pH_range,0)</f>
        <v>3</v>
      </c>
      <c r="D37" s="168" t="str">
        <f>INDEX(D7:D12,$C37)</f>
        <v>Excellent</v>
      </c>
      <c r="E37" s="168" t="str">
        <f aca="true" t="shared" si="2" ref="E37:P37">INDEX(E7:E12,$C37)</f>
        <v>Excellent</v>
      </c>
      <c r="F37" s="168" t="str">
        <f t="shared" si="2"/>
        <v>Excellent</v>
      </c>
      <c r="G37" s="168" t="str">
        <f t="shared" si="2"/>
        <v>Excellent</v>
      </c>
      <c r="H37" s="168" t="str">
        <f t="shared" si="2"/>
        <v>Good</v>
      </c>
      <c r="I37" s="168" t="str">
        <f t="shared" si="2"/>
        <v>Good</v>
      </c>
      <c r="J37" s="168" t="str">
        <f>INDEX(J7:J12,$C37)</f>
        <v>Good</v>
      </c>
      <c r="K37" s="168" t="str">
        <f t="shared" si="2"/>
        <v>Fair</v>
      </c>
      <c r="L37" s="168" t="str">
        <f t="shared" si="2"/>
        <v>Excellent</v>
      </c>
      <c r="M37" s="168" t="str">
        <f t="shared" si="2"/>
        <v>Good</v>
      </c>
      <c r="N37" s="168" t="str">
        <f t="shared" si="2"/>
        <v>Excellent</v>
      </c>
      <c r="O37" s="168" t="str">
        <f t="shared" si="2"/>
        <v>Excellent</v>
      </c>
      <c r="P37" s="168" t="str">
        <f t="shared" si="2"/>
        <v>Excellent</v>
      </c>
      <c r="Q37" s="102" t="e">
        <f>+#REF!</f>
        <v>#REF!</v>
      </c>
    </row>
    <row r="38" spans="1:17" ht="15.75" hidden="1">
      <c r="A38" s="292" t="s">
        <v>240</v>
      </c>
      <c r="B38" s="167" t="str">
        <f>Entry!B32</f>
        <v>0-300</v>
      </c>
      <c r="C38" s="168">
        <f>MATCH(B38,Alkalinity,0)</f>
        <v>1</v>
      </c>
      <c r="D38" s="168" t="str">
        <f>INDEX(D14:D17,$C38)</f>
        <v>Excellent</v>
      </c>
      <c r="E38" s="168" t="str">
        <f aca="true" t="shared" si="3" ref="E38:P38">INDEX(E14:E17,$C38)</f>
        <v>Excellent</v>
      </c>
      <c r="F38" s="168" t="str">
        <f t="shared" si="3"/>
        <v>Excellent</v>
      </c>
      <c r="G38" s="168" t="str">
        <f t="shared" si="3"/>
        <v>Excellent</v>
      </c>
      <c r="H38" s="168" t="str">
        <f t="shared" si="3"/>
        <v>Excellent</v>
      </c>
      <c r="I38" s="168" t="str">
        <f t="shared" si="3"/>
        <v>Excellent</v>
      </c>
      <c r="J38" s="168" t="str">
        <f>INDEX(J14:J17,$C38)</f>
        <v>Excellent</v>
      </c>
      <c r="K38" s="168" t="str">
        <f t="shared" si="3"/>
        <v>Excellent</v>
      </c>
      <c r="L38" s="168" t="str">
        <f t="shared" si="3"/>
        <v>Excellent</v>
      </c>
      <c r="M38" s="168" t="str">
        <f t="shared" si="3"/>
        <v>Excellent</v>
      </c>
      <c r="N38" s="168" t="str">
        <f t="shared" si="3"/>
        <v>Excellent</v>
      </c>
      <c r="O38" s="168" t="str">
        <f t="shared" si="3"/>
        <v>Excellent</v>
      </c>
      <c r="P38" s="168" t="str">
        <f t="shared" si="3"/>
        <v>Excellent</v>
      </c>
      <c r="Q38" s="102" t="e">
        <f>+#REF!</f>
        <v>#REF!</v>
      </c>
    </row>
    <row r="39" spans="1:17" ht="15.75" hidden="1">
      <c r="A39" s="292" t="s">
        <v>226</v>
      </c>
      <c r="B39" s="167" t="str">
        <f>Entry!B33</f>
        <v>1000-3000</v>
      </c>
      <c r="C39" s="168">
        <f>MATCH(B39,Chloride,0)</f>
        <v>3</v>
      </c>
      <c r="D39" s="168" t="str">
        <f>INDEX(D19:D23,$C39)</f>
        <v>Excellent</v>
      </c>
      <c r="E39" s="168" t="str">
        <f aca="true" t="shared" si="4" ref="E39:P39">INDEX(E19:E23,$C39)</f>
        <v>Good</v>
      </c>
      <c r="F39" s="168" t="str">
        <f t="shared" si="4"/>
        <v>Good</v>
      </c>
      <c r="G39" s="168" t="str">
        <f t="shared" si="4"/>
        <v>Good</v>
      </c>
      <c r="H39" s="168" t="str">
        <f t="shared" si="4"/>
        <v>Good</v>
      </c>
      <c r="I39" s="168" t="str">
        <f t="shared" si="4"/>
        <v>Good</v>
      </c>
      <c r="J39" s="168" t="str">
        <f>INDEX(J19:J23,$C39)</f>
        <v>Good</v>
      </c>
      <c r="K39" s="168" t="str">
        <f t="shared" si="4"/>
        <v>Good</v>
      </c>
      <c r="L39" s="168" t="str">
        <f t="shared" si="4"/>
        <v>Fair</v>
      </c>
      <c r="M39" s="168" t="str">
        <f t="shared" si="4"/>
        <v>Good</v>
      </c>
      <c r="N39" s="168" t="str">
        <f t="shared" si="4"/>
        <v>Good</v>
      </c>
      <c r="O39" s="168" t="str">
        <f t="shared" si="4"/>
        <v>Good</v>
      </c>
      <c r="P39" s="168" t="str">
        <f t="shared" si="4"/>
        <v>Good</v>
      </c>
      <c r="Q39" s="102" t="e">
        <f>+#REF!</f>
        <v>#REF!</v>
      </c>
    </row>
    <row r="40" spans="1:17" ht="18.75" hidden="1">
      <c r="A40" s="292" t="s">
        <v>242</v>
      </c>
      <c r="B40" s="167" t="str">
        <f>Entry!B34</f>
        <v>foc&lt;1.0% but foc&gt;0.3%</v>
      </c>
      <c r="C40" s="168">
        <f>MATCH(B40,Amenability,0)</f>
        <v>3</v>
      </c>
      <c r="D40" s="168" t="str">
        <f>INDEX(D25:D29,$C40)</f>
        <v>Good</v>
      </c>
      <c r="E40" s="168" t="str">
        <f aca="true" t="shared" si="5" ref="E40:P40">INDEX(E25:E29,$C40)</f>
        <v>Good</v>
      </c>
      <c r="F40" s="168" t="str">
        <f t="shared" si="5"/>
        <v>Good</v>
      </c>
      <c r="G40" s="168" t="str">
        <f t="shared" si="5"/>
        <v>Good</v>
      </c>
      <c r="H40" s="168" t="str">
        <f t="shared" si="5"/>
        <v>Good</v>
      </c>
      <c r="I40" s="168" t="str">
        <f t="shared" si="5"/>
        <v>Good</v>
      </c>
      <c r="J40" s="168" t="str">
        <f>INDEX(J25:J29,$C40)</f>
        <v>Good</v>
      </c>
      <c r="K40" s="168" t="str">
        <f t="shared" si="5"/>
        <v>Excellent</v>
      </c>
      <c r="L40" s="168" t="str">
        <f t="shared" si="5"/>
        <v>Excellent</v>
      </c>
      <c r="M40" s="168" t="str">
        <f t="shared" si="5"/>
        <v>Excellent</v>
      </c>
      <c r="N40" s="168" t="str">
        <f t="shared" si="5"/>
        <v>Excellent</v>
      </c>
      <c r="O40" s="168" t="str">
        <f t="shared" si="5"/>
        <v>Excellent</v>
      </c>
      <c r="P40" s="168" t="str">
        <f t="shared" si="5"/>
        <v>Excellent</v>
      </c>
      <c r="Q40" s="102" t="e">
        <f>+#REF!</f>
        <v>#REF!</v>
      </c>
    </row>
    <row r="41" spans="1:17" ht="15.75" hidden="1">
      <c r="A41" s="292" t="s">
        <v>58</v>
      </c>
      <c r="B41" s="167" t="str">
        <f>Entry!B35</f>
        <v>Moderate (100-1,000 mg/kg or 1-10 mg/L)</v>
      </c>
      <c r="C41" s="168">
        <f>MATCH(B41,Contaminant_mass_distribution,0)</f>
        <v>3</v>
      </c>
      <c r="D41" s="168" t="str">
        <f>INDEX(D31:D35,$C41)</f>
        <v>Excellent</v>
      </c>
      <c r="E41" s="168" t="str">
        <f aca="true" t="shared" si="6" ref="E41:P41">INDEX(E31:E35,$C41)</f>
        <v>Excellent</v>
      </c>
      <c r="F41" s="168" t="str">
        <f t="shared" si="6"/>
        <v>Excellent</v>
      </c>
      <c r="G41" s="168" t="str">
        <f t="shared" si="6"/>
        <v>Excellent</v>
      </c>
      <c r="H41" s="168" t="str">
        <f t="shared" si="6"/>
        <v>Excellent</v>
      </c>
      <c r="I41" s="168" t="str">
        <f t="shared" si="6"/>
        <v>Excellent</v>
      </c>
      <c r="J41" s="168" t="str">
        <f>INDEX(J31:J35,$C41)</f>
        <v>Excellent</v>
      </c>
      <c r="K41" s="168" t="str">
        <f t="shared" si="6"/>
        <v>Excellent</v>
      </c>
      <c r="L41" s="168" t="str">
        <f t="shared" si="6"/>
        <v>Excellent</v>
      </c>
      <c r="M41" s="168" t="str">
        <f t="shared" si="6"/>
        <v>Excellent</v>
      </c>
      <c r="N41" s="168" t="str">
        <f t="shared" si="6"/>
        <v>Excellent</v>
      </c>
      <c r="O41" s="168" t="str">
        <f t="shared" si="6"/>
        <v>Good</v>
      </c>
      <c r="P41" s="168" t="str">
        <f t="shared" si="6"/>
        <v>Excellent</v>
      </c>
      <c r="Q41" s="102" t="e">
        <f>+#REF!</f>
        <v>#REF!</v>
      </c>
    </row>
    <row r="42" ht="12.75" hidden="1">
      <c r="A42" s="293"/>
    </row>
    <row r="43" spans="1:16" ht="12.75" hidden="1">
      <c r="A43" s="294" t="s">
        <v>234</v>
      </c>
      <c r="D43" s="166" t="e">
        <f>SUMPRODUCT(D44:D48,$Q$37:$Q$41)</f>
        <v>#REF!</v>
      </c>
      <c r="E43" s="166" t="e">
        <f aca="true" t="shared" si="7" ref="E43:P43">SUMPRODUCT(E44:E48,$Q$37:$Q$41)</f>
        <v>#REF!</v>
      </c>
      <c r="F43" s="166" t="e">
        <f t="shared" si="7"/>
        <v>#REF!</v>
      </c>
      <c r="G43" s="166" t="e">
        <f t="shared" si="7"/>
        <v>#REF!</v>
      </c>
      <c r="H43" s="166" t="e">
        <f t="shared" si="7"/>
        <v>#REF!</v>
      </c>
      <c r="I43" s="166" t="e">
        <f t="shared" si="7"/>
        <v>#REF!</v>
      </c>
      <c r="J43" s="166" t="e">
        <f>SUMPRODUCT(J44:J48,$Q$37:$Q$41)</f>
        <v>#REF!</v>
      </c>
      <c r="K43" s="166" t="e">
        <f t="shared" si="7"/>
        <v>#REF!</v>
      </c>
      <c r="L43" s="166" t="e">
        <f t="shared" si="7"/>
        <v>#REF!</v>
      </c>
      <c r="M43" s="166" t="e">
        <f t="shared" si="7"/>
        <v>#REF!</v>
      </c>
      <c r="N43" s="166" t="e">
        <f t="shared" si="7"/>
        <v>#REF!</v>
      </c>
      <c r="O43" s="166" t="e">
        <f t="shared" si="7"/>
        <v>#REF!</v>
      </c>
      <c r="P43" s="166" t="e">
        <f t="shared" si="7"/>
        <v>#REF!</v>
      </c>
    </row>
    <row r="44" spans="1:16" ht="15.75" hidden="1">
      <c r="A44" s="292" t="s">
        <v>51</v>
      </c>
      <c r="D44" s="166">
        <f aca="true" t="shared" si="8" ref="D44:P44">INDEX(Scores,MATCH(D37,Ratings,0),1)</f>
        <v>5</v>
      </c>
      <c r="E44" s="166">
        <f t="shared" si="8"/>
        <v>5</v>
      </c>
      <c r="F44" s="166">
        <f t="shared" si="8"/>
        <v>5</v>
      </c>
      <c r="G44" s="166">
        <f t="shared" si="8"/>
        <v>5</v>
      </c>
      <c r="H44" s="166">
        <f t="shared" si="8"/>
        <v>4</v>
      </c>
      <c r="I44" s="166">
        <f t="shared" si="8"/>
        <v>4</v>
      </c>
      <c r="J44" s="166">
        <f>INDEX(Scores,MATCH(J37,Ratings,0),1)</f>
        <v>4</v>
      </c>
      <c r="K44" s="166">
        <f t="shared" si="8"/>
        <v>3</v>
      </c>
      <c r="L44" s="166">
        <f t="shared" si="8"/>
        <v>5</v>
      </c>
      <c r="M44" s="166">
        <f t="shared" si="8"/>
        <v>4</v>
      </c>
      <c r="N44" s="166">
        <f t="shared" si="8"/>
        <v>5</v>
      </c>
      <c r="O44" s="166">
        <f t="shared" si="8"/>
        <v>5</v>
      </c>
      <c r="P44" s="166">
        <f t="shared" si="8"/>
        <v>5</v>
      </c>
    </row>
    <row r="45" spans="1:16" ht="15.75" hidden="1">
      <c r="A45" s="292" t="s">
        <v>240</v>
      </c>
      <c r="D45" s="166">
        <f aca="true" t="shared" si="9" ref="D45:P45">INDEX(Scores,MATCH(D38,Ratings,0),1)</f>
        <v>5</v>
      </c>
      <c r="E45" s="166">
        <f t="shared" si="9"/>
        <v>5</v>
      </c>
      <c r="F45" s="166">
        <f t="shared" si="9"/>
        <v>5</v>
      </c>
      <c r="G45" s="166">
        <f t="shared" si="9"/>
        <v>5</v>
      </c>
      <c r="H45" s="166">
        <f t="shared" si="9"/>
        <v>5</v>
      </c>
      <c r="I45" s="166">
        <f t="shared" si="9"/>
        <v>5</v>
      </c>
      <c r="J45" s="166">
        <f>INDEX(Scores,MATCH(J38,Ratings,0),1)</f>
        <v>5</v>
      </c>
      <c r="K45" s="166">
        <f t="shared" si="9"/>
        <v>5</v>
      </c>
      <c r="L45" s="166">
        <f t="shared" si="9"/>
        <v>5</v>
      </c>
      <c r="M45" s="166">
        <f t="shared" si="9"/>
        <v>5</v>
      </c>
      <c r="N45" s="166">
        <f t="shared" si="9"/>
        <v>5</v>
      </c>
      <c r="O45" s="166">
        <f t="shared" si="9"/>
        <v>5</v>
      </c>
      <c r="P45" s="166">
        <f t="shared" si="9"/>
        <v>5</v>
      </c>
    </row>
    <row r="46" spans="1:16" ht="15.75" hidden="1">
      <c r="A46" s="292" t="s">
        <v>54</v>
      </c>
      <c r="D46" s="166">
        <f aca="true" t="shared" si="10" ref="D46:P46">INDEX(Scores,MATCH(D39,Ratings,0),1)</f>
        <v>5</v>
      </c>
      <c r="E46" s="166">
        <f t="shared" si="10"/>
        <v>4</v>
      </c>
      <c r="F46" s="166">
        <f t="shared" si="10"/>
        <v>4</v>
      </c>
      <c r="G46" s="166">
        <f t="shared" si="10"/>
        <v>4</v>
      </c>
      <c r="H46" s="166">
        <f t="shared" si="10"/>
        <v>4</v>
      </c>
      <c r="I46" s="166">
        <f t="shared" si="10"/>
        <v>4</v>
      </c>
      <c r="J46" s="166">
        <f>INDEX(Scores,MATCH(J39,Ratings,0),1)</f>
        <v>4</v>
      </c>
      <c r="K46" s="166">
        <f t="shared" si="10"/>
        <v>4</v>
      </c>
      <c r="L46" s="166">
        <f t="shared" si="10"/>
        <v>3</v>
      </c>
      <c r="M46" s="166">
        <f t="shared" si="10"/>
        <v>4</v>
      </c>
      <c r="N46" s="166">
        <f t="shared" si="10"/>
        <v>4</v>
      </c>
      <c r="O46" s="166">
        <f t="shared" si="10"/>
        <v>4</v>
      </c>
      <c r="P46" s="166">
        <f t="shared" si="10"/>
        <v>4</v>
      </c>
    </row>
    <row r="47" spans="1:16" ht="18.75" hidden="1">
      <c r="A47" s="292" t="s">
        <v>242</v>
      </c>
      <c r="D47" s="166">
        <f aca="true" t="shared" si="11" ref="D47:P47">INDEX(Scores,MATCH(D40,Ratings,0),1)</f>
        <v>4</v>
      </c>
      <c r="E47" s="166">
        <f t="shared" si="11"/>
        <v>4</v>
      </c>
      <c r="F47" s="166">
        <f t="shared" si="11"/>
        <v>4</v>
      </c>
      <c r="G47" s="166">
        <f t="shared" si="11"/>
        <v>4</v>
      </c>
      <c r="H47" s="166">
        <f t="shared" si="11"/>
        <v>4</v>
      </c>
      <c r="I47" s="166">
        <f t="shared" si="11"/>
        <v>4</v>
      </c>
      <c r="J47" s="166">
        <f>INDEX(Scores,MATCH(J40,Ratings,0),1)</f>
        <v>4</v>
      </c>
      <c r="K47" s="166">
        <f t="shared" si="11"/>
        <v>5</v>
      </c>
      <c r="L47" s="166">
        <f t="shared" si="11"/>
        <v>5</v>
      </c>
      <c r="M47" s="166">
        <f t="shared" si="11"/>
        <v>5</v>
      </c>
      <c r="N47" s="166">
        <f t="shared" si="11"/>
        <v>5</v>
      </c>
      <c r="O47" s="166">
        <f t="shared" si="11"/>
        <v>5</v>
      </c>
      <c r="P47" s="166">
        <f t="shared" si="11"/>
        <v>5</v>
      </c>
    </row>
    <row r="48" spans="1:16" ht="15.75" hidden="1">
      <c r="A48" s="292" t="s">
        <v>58</v>
      </c>
      <c r="D48" s="166">
        <f aca="true" t="shared" si="12" ref="D48:P48">INDEX(Scores,MATCH(D41,Ratings,0),1)</f>
        <v>5</v>
      </c>
      <c r="E48" s="166">
        <f t="shared" si="12"/>
        <v>5</v>
      </c>
      <c r="F48" s="166">
        <f t="shared" si="12"/>
        <v>5</v>
      </c>
      <c r="G48" s="166">
        <f t="shared" si="12"/>
        <v>5</v>
      </c>
      <c r="H48" s="166">
        <f t="shared" si="12"/>
        <v>5</v>
      </c>
      <c r="I48" s="166">
        <f t="shared" si="12"/>
        <v>5</v>
      </c>
      <c r="J48" s="166">
        <f>INDEX(Scores,MATCH(J41,Ratings,0),1)</f>
        <v>5</v>
      </c>
      <c r="K48" s="166">
        <f t="shared" si="12"/>
        <v>5</v>
      </c>
      <c r="L48" s="166">
        <f t="shared" si="12"/>
        <v>5</v>
      </c>
      <c r="M48" s="166">
        <f t="shared" si="12"/>
        <v>5</v>
      </c>
      <c r="N48" s="166">
        <f t="shared" si="12"/>
        <v>5</v>
      </c>
      <c r="O48" s="166">
        <f t="shared" si="12"/>
        <v>4</v>
      </c>
      <c r="P48" s="166">
        <f t="shared" si="12"/>
        <v>5</v>
      </c>
    </row>
    <row r="49" spans="1:16" ht="12.75" hidden="1">
      <c r="A49" s="293"/>
      <c r="D49" s="166" t="e">
        <f>SUMPRODUCT(D44:D48,$Q$37:$Q$41)/SUM($Q$37:$Q$41)</f>
        <v>#REF!</v>
      </c>
      <c r="N49" s="166"/>
      <c r="O49" s="166"/>
      <c r="P49" s="166"/>
    </row>
    <row r="50" spans="1:5" ht="15.75" hidden="1">
      <c r="A50" s="293">
        <v>8</v>
      </c>
      <c r="B50" s="169" t="s">
        <v>235</v>
      </c>
      <c r="E50" s="170" t="s">
        <v>151</v>
      </c>
    </row>
    <row r="51" spans="1:5" ht="15.75" hidden="1">
      <c r="A51" s="293">
        <v>4</v>
      </c>
      <c r="B51" s="171" t="s">
        <v>236</v>
      </c>
      <c r="E51" s="170" t="s">
        <v>150</v>
      </c>
    </row>
    <row r="52" spans="1:5" ht="15.75" hidden="1">
      <c r="A52" s="293">
        <v>6</v>
      </c>
      <c r="B52" s="172" t="s">
        <v>237</v>
      </c>
      <c r="E52" s="166" t="s">
        <v>149</v>
      </c>
    </row>
    <row r="53" spans="1:5" ht="15.75" hidden="1">
      <c r="A53" s="293">
        <v>45</v>
      </c>
      <c r="B53" s="173" t="s">
        <v>238</v>
      </c>
      <c r="E53" s="170" t="s">
        <v>148</v>
      </c>
    </row>
    <row r="54" spans="1:5" ht="15.75" hidden="1">
      <c r="A54" s="293">
        <v>3</v>
      </c>
      <c r="B54" s="174" t="s">
        <v>239</v>
      </c>
      <c r="E54" s="170" t="s">
        <v>175</v>
      </c>
    </row>
    <row r="55" ht="12.75" hidden="1">
      <c r="A55" s="293"/>
    </row>
    <row r="56" spans="1:4" ht="12.75" hidden="1">
      <c r="A56" s="293"/>
      <c r="D56" s="166" t="e">
        <f>SUMPRODUCT(D44:D48,$Q$37:$Q$41)/SUM($Q$37:$Q$41)</f>
        <v>#REF!</v>
      </c>
    </row>
    <row r="57" spans="1:4" ht="12.75" hidden="1">
      <c r="A57" s="293"/>
      <c r="D57" s="166" t="e">
        <f>SUMPRODUCT(D44:D48,$Q$37:$Q$41)</f>
        <v>#REF!</v>
      </c>
    </row>
    <row r="58" spans="1:4" ht="12.75" hidden="1">
      <c r="A58" s="293"/>
      <c r="D58" s="166">
        <f>SUM(D44:D48)</f>
        <v>24</v>
      </c>
    </row>
  </sheetData>
  <sheetProtection password="C979" sheet="1" objects="1" scenarios="1"/>
  <mergeCells count="6">
    <mergeCell ref="A1:A2"/>
    <mergeCell ref="D1:D2"/>
    <mergeCell ref="K1:P1"/>
    <mergeCell ref="J1:J2"/>
    <mergeCell ref="E1:F1"/>
    <mergeCell ref="G1:I1"/>
  </mergeCells>
  <printOptions/>
  <pageMargins left="0.75" right="0.75" top="1" bottom="1" header="0.5" footer="0.5"/>
  <pageSetup fitToHeight="1" fitToWidth="1" horizontalDpi="600" verticalDpi="600" orientation="landscape" scale="48" r:id="rId1"/>
</worksheet>
</file>

<file path=xl/worksheets/sheet6.xml><?xml version="1.0" encoding="utf-8"?>
<worksheet xmlns="http://schemas.openxmlformats.org/spreadsheetml/2006/main" xmlns:r="http://schemas.openxmlformats.org/officeDocument/2006/relationships">
  <sheetPr codeName="Sheet9">
    <pageSetUpPr fitToPage="1"/>
  </sheetPr>
  <dimension ref="A1:S57"/>
  <sheetViews>
    <sheetView zoomScalePageLayoutView="0" workbookViewId="0" topLeftCell="A1">
      <pane xSplit="1" ySplit="3" topLeftCell="B39" activePane="bottomRight" state="frozen"/>
      <selection pane="topLeft" activeCell="A1" sqref="A1"/>
      <selection pane="topRight" activeCell="B1" sqref="B1"/>
      <selection pane="bottomLeft" activeCell="A4" sqref="A4"/>
      <selection pane="bottomRight" activeCell="B41" sqref="B41"/>
    </sheetView>
  </sheetViews>
  <sheetFormatPr defaultColWidth="8.00390625" defaultRowHeight="15.75"/>
  <cols>
    <col min="1" max="1" width="41.00390625" style="53" bestFit="1" customWidth="1"/>
    <col min="2" max="2" width="16.625" style="93" customWidth="1"/>
    <col min="3" max="4" width="11.875" style="93" customWidth="1"/>
    <col min="5" max="5" width="8.625" style="93" bestFit="1" customWidth="1"/>
    <col min="6" max="6" width="16.00390625" style="93" customWidth="1"/>
    <col min="7" max="7" width="12.125" style="93" bestFit="1" customWidth="1"/>
    <col min="8" max="9" width="10.625" style="93" customWidth="1"/>
    <col min="10" max="10" width="10.625" style="93" bestFit="1" customWidth="1"/>
    <col min="11" max="11" width="11.625" style="93" customWidth="1"/>
    <col min="12" max="12" width="10.625" style="93" customWidth="1"/>
    <col min="13" max="13" width="12.50390625" style="93" customWidth="1"/>
    <col min="14" max="14" width="12.125" style="93" bestFit="1" customWidth="1"/>
    <col min="15" max="15" width="10.50390625" style="53" customWidth="1"/>
    <col min="16" max="16384" width="8.00390625" style="53" customWidth="1"/>
  </cols>
  <sheetData>
    <row r="1" spans="1:14" ht="32.25" customHeight="1" thickBot="1">
      <c r="A1" s="50" t="s">
        <v>171</v>
      </c>
      <c r="B1" s="51" t="s">
        <v>114</v>
      </c>
      <c r="C1" s="606" t="s">
        <v>172</v>
      </c>
      <c r="D1" s="607"/>
      <c r="E1" s="608"/>
      <c r="F1" s="52" t="s">
        <v>345</v>
      </c>
      <c r="G1" s="606" t="s">
        <v>117</v>
      </c>
      <c r="H1" s="607"/>
      <c r="I1" s="607"/>
      <c r="J1" s="607"/>
      <c r="K1" s="607"/>
      <c r="L1" s="608"/>
      <c r="M1" s="606" t="s">
        <v>116</v>
      </c>
      <c r="N1" s="609"/>
    </row>
    <row r="2" spans="1:14" ht="51.75" thickBot="1">
      <c r="A2" s="432" t="s">
        <v>371</v>
      </c>
      <c r="B2" s="51"/>
      <c r="C2" s="433" t="s">
        <v>331</v>
      </c>
      <c r="D2" s="433" t="s">
        <v>332</v>
      </c>
      <c r="E2" s="433" t="s">
        <v>333</v>
      </c>
      <c r="F2" s="433"/>
      <c r="G2" s="433" t="s">
        <v>119</v>
      </c>
      <c r="H2" s="433" t="s">
        <v>212</v>
      </c>
      <c r="I2" s="433" t="s">
        <v>213</v>
      </c>
      <c r="J2" s="433" t="s">
        <v>118</v>
      </c>
      <c r="K2" s="433" t="s">
        <v>334</v>
      </c>
      <c r="L2" s="433" t="s">
        <v>215</v>
      </c>
      <c r="M2" s="433" t="s">
        <v>208</v>
      </c>
      <c r="N2" s="433" t="s">
        <v>209</v>
      </c>
    </row>
    <row r="3" spans="1:14" ht="13.5" thickBot="1">
      <c r="A3" s="602" t="s">
        <v>34</v>
      </c>
      <c r="B3" s="603"/>
      <c r="C3" s="603"/>
      <c r="D3" s="603"/>
      <c r="E3" s="603"/>
      <c r="F3" s="603"/>
      <c r="G3" s="603"/>
      <c r="H3" s="604"/>
      <c r="I3" s="604"/>
      <c r="J3" s="604"/>
      <c r="K3" s="604"/>
      <c r="L3" s="604"/>
      <c r="M3" s="604"/>
      <c r="N3" s="605"/>
    </row>
    <row r="4" spans="1:14" ht="22.5">
      <c r="A4" s="54" t="s">
        <v>173</v>
      </c>
      <c r="B4" s="55" t="s">
        <v>149</v>
      </c>
      <c r="C4" s="460" t="s">
        <v>150</v>
      </c>
      <c r="D4" s="434" t="s">
        <v>150</v>
      </c>
      <c r="E4" s="434" t="s">
        <v>150</v>
      </c>
      <c r="F4" s="434" t="s">
        <v>150</v>
      </c>
      <c r="G4" s="364" t="s">
        <v>151</v>
      </c>
      <c r="H4" s="364" t="s">
        <v>151</v>
      </c>
      <c r="I4" s="364" t="s">
        <v>151</v>
      </c>
      <c r="J4" s="364" t="s">
        <v>151</v>
      </c>
      <c r="K4" s="434" t="s">
        <v>150</v>
      </c>
      <c r="L4" s="364" t="s">
        <v>151</v>
      </c>
      <c r="M4" s="442" t="s">
        <v>150</v>
      </c>
      <c r="N4" s="56" t="s">
        <v>150</v>
      </c>
    </row>
    <row r="5" spans="1:14" ht="12.75">
      <c r="A5" s="57" t="s">
        <v>45</v>
      </c>
      <c r="B5" s="58" t="s">
        <v>148</v>
      </c>
      <c r="C5" s="461" t="s">
        <v>149</v>
      </c>
      <c r="D5" s="435" t="s">
        <v>149</v>
      </c>
      <c r="E5" s="435" t="s">
        <v>149</v>
      </c>
      <c r="F5" s="435" t="s">
        <v>149</v>
      </c>
      <c r="G5" s="436" t="s">
        <v>150</v>
      </c>
      <c r="H5" s="436" t="s">
        <v>150</v>
      </c>
      <c r="I5" s="437" t="s">
        <v>148</v>
      </c>
      <c r="J5" s="435" t="s">
        <v>149</v>
      </c>
      <c r="K5" s="437" t="s">
        <v>148</v>
      </c>
      <c r="L5" s="436" t="s">
        <v>150</v>
      </c>
      <c r="M5" s="443" t="s">
        <v>149</v>
      </c>
      <c r="N5" s="59" t="s">
        <v>149</v>
      </c>
    </row>
    <row r="6" spans="1:14" ht="22.5">
      <c r="A6" s="57" t="s">
        <v>174</v>
      </c>
      <c r="B6" s="60" t="s">
        <v>150</v>
      </c>
      <c r="C6" s="463" t="s">
        <v>150</v>
      </c>
      <c r="D6" s="436" t="s">
        <v>150</v>
      </c>
      <c r="E6" s="436" t="s">
        <v>150</v>
      </c>
      <c r="F6" s="436" t="s">
        <v>150</v>
      </c>
      <c r="G6" s="436" t="s">
        <v>150</v>
      </c>
      <c r="H6" s="436" t="s">
        <v>150</v>
      </c>
      <c r="I6" s="435" t="s">
        <v>149</v>
      </c>
      <c r="J6" s="435" t="s">
        <v>149</v>
      </c>
      <c r="K6" s="437" t="s">
        <v>148</v>
      </c>
      <c r="L6" s="436" t="s">
        <v>150</v>
      </c>
      <c r="M6" s="444" t="s">
        <v>150</v>
      </c>
      <c r="N6" s="61" t="s">
        <v>150</v>
      </c>
    </row>
    <row r="7" spans="1:14" ht="22.5">
      <c r="A7" s="57" t="s">
        <v>35</v>
      </c>
      <c r="B7" s="62" t="s">
        <v>308</v>
      </c>
      <c r="C7" s="461" t="s">
        <v>149</v>
      </c>
      <c r="D7" s="437" t="s">
        <v>148</v>
      </c>
      <c r="E7" s="435" t="s">
        <v>149</v>
      </c>
      <c r="F7" s="435" t="s">
        <v>149</v>
      </c>
      <c r="G7" s="435" t="s">
        <v>149</v>
      </c>
      <c r="H7" s="436" t="s">
        <v>150</v>
      </c>
      <c r="I7" s="437" t="s">
        <v>148</v>
      </c>
      <c r="J7" s="437" t="s">
        <v>148</v>
      </c>
      <c r="K7" s="453" t="s">
        <v>308</v>
      </c>
      <c r="L7" s="435" t="s">
        <v>149</v>
      </c>
      <c r="M7" s="445" t="s">
        <v>308</v>
      </c>
      <c r="N7" s="63" t="s">
        <v>308</v>
      </c>
    </row>
    <row r="8" spans="1:14" ht="23.25" thickBot="1">
      <c r="A8" s="64" t="s">
        <v>176</v>
      </c>
      <c r="B8" s="65" t="s">
        <v>308</v>
      </c>
      <c r="C8" s="464" t="s">
        <v>149</v>
      </c>
      <c r="D8" s="438" t="s">
        <v>148</v>
      </c>
      <c r="E8" s="439" t="s">
        <v>149</v>
      </c>
      <c r="F8" s="435" t="s">
        <v>149</v>
      </c>
      <c r="G8" s="439" t="s">
        <v>149</v>
      </c>
      <c r="H8" s="440" t="s">
        <v>150</v>
      </c>
      <c r="I8" s="438" t="s">
        <v>148</v>
      </c>
      <c r="J8" s="438" t="s">
        <v>148</v>
      </c>
      <c r="K8" s="468" t="s">
        <v>308</v>
      </c>
      <c r="L8" s="439" t="s">
        <v>149</v>
      </c>
      <c r="M8" s="446" t="s">
        <v>308</v>
      </c>
      <c r="N8" s="66" t="s">
        <v>308</v>
      </c>
    </row>
    <row r="9" spans="1:14" ht="13.5" thickBot="1">
      <c r="A9" s="602" t="s">
        <v>177</v>
      </c>
      <c r="B9" s="603"/>
      <c r="C9" s="603"/>
      <c r="D9" s="603"/>
      <c r="E9" s="603"/>
      <c r="F9" s="603"/>
      <c r="G9" s="603"/>
      <c r="H9" s="604"/>
      <c r="I9" s="604"/>
      <c r="J9" s="604"/>
      <c r="K9" s="604"/>
      <c r="L9" s="604"/>
      <c r="M9" s="604"/>
      <c r="N9" s="605"/>
    </row>
    <row r="10" spans="1:14" ht="12.75">
      <c r="A10" s="54" t="s">
        <v>36</v>
      </c>
      <c r="B10" s="67" t="s">
        <v>308</v>
      </c>
      <c r="C10" s="465" t="s">
        <v>151</v>
      </c>
      <c r="D10" s="364" t="s">
        <v>151</v>
      </c>
      <c r="E10" s="364" t="s">
        <v>151</v>
      </c>
      <c r="F10" s="364" t="s">
        <v>151</v>
      </c>
      <c r="G10" s="364" t="s">
        <v>151</v>
      </c>
      <c r="H10" s="364" t="s">
        <v>151</v>
      </c>
      <c r="I10" s="364" t="s">
        <v>151</v>
      </c>
      <c r="J10" s="364" t="s">
        <v>151</v>
      </c>
      <c r="K10" s="364" t="s">
        <v>151</v>
      </c>
      <c r="L10" s="364" t="s">
        <v>151</v>
      </c>
      <c r="M10" s="447" t="s">
        <v>151</v>
      </c>
      <c r="N10" s="68" t="s">
        <v>151</v>
      </c>
    </row>
    <row r="11" spans="1:14" ht="12.75">
      <c r="A11" s="57" t="s">
        <v>46</v>
      </c>
      <c r="B11" s="60" t="s">
        <v>150</v>
      </c>
      <c r="C11" s="466" t="s">
        <v>151</v>
      </c>
      <c r="D11" s="363" t="s">
        <v>151</v>
      </c>
      <c r="E11" s="363" t="s">
        <v>151</v>
      </c>
      <c r="F11" s="363" t="s">
        <v>151</v>
      </c>
      <c r="G11" s="363" t="s">
        <v>151</v>
      </c>
      <c r="H11" s="363" t="s">
        <v>151</v>
      </c>
      <c r="I11" s="363" t="s">
        <v>151</v>
      </c>
      <c r="J11" s="363" t="s">
        <v>151</v>
      </c>
      <c r="K11" s="363" t="s">
        <v>151</v>
      </c>
      <c r="L11" s="363" t="s">
        <v>151</v>
      </c>
      <c r="M11" s="448" t="s">
        <v>151</v>
      </c>
      <c r="N11" s="69" t="s">
        <v>151</v>
      </c>
    </row>
    <row r="12" spans="1:14" ht="12.75">
      <c r="A12" s="57" t="s">
        <v>178</v>
      </c>
      <c r="B12" s="60" t="s">
        <v>150</v>
      </c>
      <c r="C12" s="466" t="s">
        <v>151</v>
      </c>
      <c r="D12" s="363" t="s">
        <v>151</v>
      </c>
      <c r="E12" s="363" t="s">
        <v>151</v>
      </c>
      <c r="F12" s="363" t="s">
        <v>151</v>
      </c>
      <c r="G12" s="363" t="s">
        <v>151</v>
      </c>
      <c r="H12" s="363" t="s">
        <v>151</v>
      </c>
      <c r="I12" s="363" t="s">
        <v>151</v>
      </c>
      <c r="J12" s="363" t="s">
        <v>151</v>
      </c>
      <c r="K12" s="363" t="s">
        <v>151</v>
      </c>
      <c r="L12" s="363" t="s">
        <v>151</v>
      </c>
      <c r="M12" s="448" t="s">
        <v>151</v>
      </c>
      <c r="N12" s="69" t="s">
        <v>151</v>
      </c>
    </row>
    <row r="13" spans="1:14" ht="12.75">
      <c r="A13" s="57" t="s">
        <v>179</v>
      </c>
      <c r="B13" s="60" t="s">
        <v>150</v>
      </c>
      <c r="C13" s="466" t="s">
        <v>151</v>
      </c>
      <c r="D13" s="363" t="s">
        <v>151</v>
      </c>
      <c r="E13" s="363" t="s">
        <v>151</v>
      </c>
      <c r="F13" s="363" t="s">
        <v>151</v>
      </c>
      <c r="G13" s="363" t="s">
        <v>151</v>
      </c>
      <c r="H13" s="363" t="s">
        <v>151</v>
      </c>
      <c r="I13" s="363" t="s">
        <v>151</v>
      </c>
      <c r="J13" s="363" t="s">
        <v>151</v>
      </c>
      <c r="K13" s="363" t="s">
        <v>151</v>
      </c>
      <c r="L13" s="363" t="s">
        <v>151</v>
      </c>
      <c r="M13" s="448" t="s">
        <v>151</v>
      </c>
      <c r="N13" s="69" t="s">
        <v>151</v>
      </c>
    </row>
    <row r="14" spans="1:14" ht="12.75">
      <c r="A14" s="57" t="s">
        <v>180</v>
      </c>
      <c r="B14" s="58" t="s">
        <v>148</v>
      </c>
      <c r="C14" s="463" t="s">
        <v>150</v>
      </c>
      <c r="D14" s="436" t="s">
        <v>150</v>
      </c>
      <c r="E14" s="436" t="s">
        <v>150</v>
      </c>
      <c r="F14" s="436" t="s">
        <v>150</v>
      </c>
      <c r="G14" s="363" t="s">
        <v>151</v>
      </c>
      <c r="H14" s="363" t="s">
        <v>151</v>
      </c>
      <c r="I14" s="363" t="s">
        <v>151</v>
      </c>
      <c r="J14" s="363" t="s">
        <v>151</v>
      </c>
      <c r="K14" s="363" t="s">
        <v>151</v>
      </c>
      <c r="L14" s="363" t="s">
        <v>151</v>
      </c>
      <c r="M14" s="444" t="s">
        <v>150</v>
      </c>
      <c r="N14" s="61" t="s">
        <v>150</v>
      </c>
    </row>
    <row r="15" spans="1:14" ht="13.5" thickBot="1">
      <c r="A15" s="64" t="s">
        <v>181</v>
      </c>
      <c r="B15" s="65" t="s">
        <v>308</v>
      </c>
      <c r="C15" s="464" t="s">
        <v>149</v>
      </c>
      <c r="D15" s="439" t="s">
        <v>149</v>
      </c>
      <c r="E15" s="439" t="s">
        <v>149</v>
      </c>
      <c r="F15" s="435" t="s">
        <v>149</v>
      </c>
      <c r="G15" s="441" t="s">
        <v>150</v>
      </c>
      <c r="H15" s="441" t="s">
        <v>150</v>
      </c>
      <c r="I15" s="470" t="s">
        <v>149</v>
      </c>
      <c r="J15" s="470" t="s">
        <v>149</v>
      </c>
      <c r="K15" s="469" t="s">
        <v>148</v>
      </c>
      <c r="L15" s="441" t="s">
        <v>150</v>
      </c>
      <c r="M15" s="449" t="s">
        <v>149</v>
      </c>
      <c r="N15" s="70" t="s">
        <v>149</v>
      </c>
    </row>
    <row r="16" spans="1:14" ht="13.5" thickBot="1">
      <c r="A16" s="602" t="s">
        <v>182</v>
      </c>
      <c r="B16" s="603"/>
      <c r="C16" s="603"/>
      <c r="D16" s="603"/>
      <c r="E16" s="603"/>
      <c r="F16" s="603"/>
      <c r="G16" s="603"/>
      <c r="H16" s="604"/>
      <c r="I16" s="604"/>
      <c r="J16" s="604"/>
      <c r="K16" s="604"/>
      <c r="L16" s="604"/>
      <c r="M16" s="604"/>
      <c r="N16" s="605"/>
    </row>
    <row r="17" spans="1:14" ht="12.75">
      <c r="A17" s="54" t="s">
        <v>47</v>
      </c>
      <c r="B17" s="71" t="s">
        <v>151</v>
      </c>
      <c r="C17" s="465" t="s">
        <v>151</v>
      </c>
      <c r="D17" s="364" t="s">
        <v>151</v>
      </c>
      <c r="E17" s="364" t="s">
        <v>151</v>
      </c>
      <c r="F17" s="363" t="s">
        <v>151</v>
      </c>
      <c r="G17" s="364" t="s">
        <v>151</v>
      </c>
      <c r="H17" s="364" t="s">
        <v>151</v>
      </c>
      <c r="I17" s="364" t="s">
        <v>151</v>
      </c>
      <c r="J17" s="364" t="s">
        <v>151</v>
      </c>
      <c r="K17" s="364" t="s">
        <v>151</v>
      </c>
      <c r="L17" s="364" t="s">
        <v>151</v>
      </c>
      <c r="M17" s="447" t="s">
        <v>151</v>
      </c>
      <c r="N17" s="68" t="s">
        <v>151</v>
      </c>
    </row>
    <row r="18" spans="1:14" ht="12.75">
      <c r="A18" s="57" t="s">
        <v>38</v>
      </c>
      <c r="B18" s="72" t="s">
        <v>151</v>
      </c>
      <c r="C18" s="466" t="s">
        <v>151</v>
      </c>
      <c r="D18" s="363" t="s">
        <v>151</v>
      </c>
      <c r="E18" s="363" t="s">
        <v>151</v>
      </c>
      <c r="F18" s="363" t="s">
        <v>151</v>
      </c>
      <c r="G18" s="363" t="s">
        <v>151</v>
      </c>
      <c r="H18" s="363" t="s">
        <v>151</v>
      </c>
      <c r="I18" s="363" t="s">
        <v>151</v>
      </c>
      <c r="J18" s="363" t="s">
        <v>151</v>
      </c>
      <c r="K18" s="363" t="s">
        <v>151</v>
      </c>
      <c r="L18" s="363" t="s">
        <v>151</v>
      </c>
      <c r="M18" s="448" t="s">
        <v>151</v>
      </c>
      <c r="N18" s="69" t="s">
        <v>151</v>
      </c>
    </row>
    <row r="19" spans="1:14" ht="12.75">
      <c r="A19" s="57" t="s">
        <v>183</v>
      </c>
      <c r="B19" s="72" t="s">
        <v>151</v>
      </c>
      <c r="C19" s="466" t="s">
        <v>151</v>
      </c>
      <c r="D19" s="363" t="s">
        <v>151</v>
      </c>
      <c r="E19" s="363" t="s">
        <v>151</v>
      </c>
      <c r="F19" s="363" t="s">
        <v>151</v>
      </c>
      <c r="G19" s="363" t="s">
        <v>151</v>
      </c>
      <c r="H19" s="363" t="s">
        <v>151</v>
      </c>
      <c r="I19" s="363" t="s">
        <v>151</v>
      </c>
      <c r="J19" s="363" t="s">
        <v>151</v>
      </c>
      <c r="K19" s="363" t="s">
        <v>151</v>
      </c>
      <c r="L19" s="363" t="s">
        <v>151</v>
      </c>
      <c r="M19" s="448" t="s">
        <v>151</v>
      </c>
      <c r="N19" s="69" t="s">
        <v>151</v>
      </c>
    </row>
    <row r="20" spans="1:14" ht="12.75">
      <c r="A20" s="57" t="s">
        <v>184</v>
      </c>
      <c r="B20" s="72" t="s">
        <v>151</v>
      </c>
      <c r="C20" s="466" t="s">
        <v>151</v>
      </c>
      <c r="D20" s="363" t="s">
        <v>151</v>
      </c>
      <c r="E20" s="363" t="s">
        <v>151</v>
      </c>
      <c r="F20" s="363" t="s">
        <v>151</v>
      </c>
      <c r="G20" s="363" t="s">
        <v>151</v>
      </c>
      <c r="H20" s="363" t="s">
        <v>151</v>
      </c>
      <c r="I20" s="363" t="s">
        <v>151</v>
      </c>
      <c r="J20" s="363" t="s">
        <v>151</v>
      </c>
      <c r="K20" s="363" t="s">
        <v>151</v>
      </c>
      <c r="L20" s="363" t="s">
        <v>151</v>
      </c>
      <c r="M20" s="448" t="s">
        <v>151</v>
      </c>
      <c r="N20" s="69" t="s">
        <v>151</v>
      </c>
    </row>
    <row r="21" spans="1:14" ht="12.75">
      <c r="A21" s="57" t="s">
        <v>185</v>
      </c>
      <c r="B21" s="62" t="s">
        <v>308</v>
      </c>
      <c r="C21" s="461" t="s">
        <v>149</v>
      </c>
      <c r="D21" s="435" t="s">
        <v>149</v>
      </c>
      <c r="E21" s="437" t="s">
        <v>148</v>
      </c>
      <c r="F21" s="435" t="s">
        <v>149</v>
      </c>
      <c r="G21" s="435" t="s">
        <v>149</v>
      </c>
      <c r="H21" s="435" t="s">
        <v>149</v>
      </c>
      <c r="I21" s="435" t="s">
        <v>149</v>
      </c>
      <c r="J21" s="435" t="s">
        <v>149</v>
      </c>
      <c r="K21" s="435" t="s">
        <v>149</v>
      </c>
      <c r="L21" s="435" t="s">
        <v>149</v>
      </c>
      <c r="M21" s="443" t="s">
        <v>149</v>
      </c>
      <c r="N21" s="59" t="s">
        <v>149</v>
      </c>
    </row>
    <row r="22" spans="1:14" ht="12.75">
      <c r="A22" s="57" t="s">
        <v>186</v>
      </c>
      <c r="B22" s="62" t="s">
        <v>308</v>
      </c>
      <c r="C22" s="463" t="s">
        <v>150</v>
      </c>
      <c r="D22" s="436" t="s">
        <v>150</v>
      </c>
      <c r="E22" s="437" t="s">
        <v>148</v>
      </c>
      <c r="F22" s="435" t="s">
        <v>149</v>
      </c>
      <c r="G22" s="436" t="s">
        <v>150</v>
      </c>
      <c r="H22" s="436" t="s">
        <v>150</v>
      </c>
      <c r="I22" s="435" t="s">
        <v>149</v>
      </c>
      <c r="J22" s="435" t="s">
        <v>149</v>
      </c>
      <c r="K22" s="437" t="s">
        <v>148</v>
      </c>
      <c r="L22" s="436" t="s">
        <v>150</v>
      </c>
      <c r="M22" s="444" t="s">
        <v>150</v>
      </c>
      <c r="N22" s="61" t="s">
        <v>150</v>
      </c>
    </row>
    <row r="23" spans="1:14" ht="12.75">
      <c r="A23" s="57" t="s">
        <v>187</v>
      </c>
      <c r="B23" s="62" t="s">
        <v>308</v>
      </c>
      <c r="C23" s="463" t="s">
        <v>150</v>
      </c>
      <c r="D23" s="436" t="s">
        <v>150</v>
      </c>
      <c r="E23" s="435" t="s">
        <v>149</v>
      </c>
      <c r="F23" s="435" t="s">
        <v>149</v>
      </c>
      <c r="G23" s="436" t="s">
        <v>150</v>
      </c>
      <c r="H23" s="436" t="s">
        <v>150</v>
      </c>
      <c r="I23" s="435" t="s">
        <v>149</v>
      </c>
      <c r="J23" s="435" t="s">
        <v>149</v>
      </c>
      <c r="K23" s="437" t="s">
        <v>148</v>
      </c>
      <c r="L23" s="436" t="s">
        <v>150</v>
      </c>
      <c r="M23" s="444" t="s">
        <v>150</v>
      </c>
      <c r="N23" s="61" t="s">
        <v>150</v>
      </c>
    </row>
    <row r="24" spans="1:14" ht="12.75">
      <c r="A24" s="57" t="s">
        <v>188</v>
      </c>
      <c r="B24" s="62" t="s">
        <v>308</v>
      </c>
      <c r="C24" s="463" t="s">
        <v>150</v>
      </c>
      <c r="D24" s="436" t="s">
        <v>150</v>
      </c>
      <c r="E24" s="435" t="s">
        <v>149</v>
      </c>
      <c r="F24" s="435" t="s">
        <v>149</v>
      </c>
      <c r="G24" s="436" t="s">
        <v>150</v>
      </c>
      <c r="H24" s="436" t="s">
        <v>150</v>
      </c>
      <c r="I24" s="435" t="s">
        <v>149</v>
      </c>
      <c r="J24" s="435" t="s">
        <v>149</v>
      </c>
      <c r="K24" s="437" t="s">
        <v>148</v>
      </c>
      <c r="L24" s="436" t="s">
        <v>150</v>
      </c>
      <c r="M24" s="444" t="s">
        <v>150</v>
      </c>
      <c r="N24" s="61" t="s">
        <v>150</v>
      </c>
    </row>
    <row r="25" spans="1:14" ht="22.5">
      <c r="A25" s="57" t="s">
        <v>189</v>
      </c>
      <c r="B25" s="62" t="s">
        <v>308</v>
      </c>
      <c r="C25" s="466" t="s">
        <v>151</v>
      </c>
      <c r="D25" s="436" t="s">
        <v>150</v>
      </c>
      <c r="E25" s="437" t="s">
        <v>148</v>
      </c>
      <c r="F25" s="435" t="s">
        <v>149</v>
      </c>
      <c r="G25" s="363" t="s">
        <v>151</v>
      </c>
      <c r="H25" s="435" t="s">
        <v>149</v>
      </c>
      <c r="I25" s="453" t="s">
        <v>308</v>
      </c>
      <c r="J25" s="453" t="s">
        <v>308</v>
      </c>
      <c r="K25" s="453" t="s">
        <v>308</v>
      </c>
      <c r="L25" s="363" t="s">
        <v>151</v>
      </c>
      <c r="M25" s="445" t="s">
        <v>308</v>
      </c>
      <c r="N25" s="63" t="s">
        <v>308</v>
      </c>
    </row>
    <row r="26" spans="1:14" ht="22.5">
      <c r="A26" s="57" t="s">
        <v>190</v>
      </c>
      <c r="B26" s="62" t="s">
        <v>308</v>
      </c>
      <c r="C26" s="463" t="s">
        <v>150</v>
      </c>
      <c r="D26" s="436" t="s">
        <v>150</v>
      </c>
      <c r="E26" s="437" t="s">
        <v>148</v>
      </c>
      <c r="F26" s="435" t="s">
        <v>149</v>
      </c>
      <c r="G26" s="436" t="s">
        <v>150</v>
      </c>
      <c r="H26" s="453" t="s">
        <v>308</v>
      </c>
      <c r="I26" s="453" t="s">
        <v>308</v>
      </c>
      <c r="J26" s="453" t="s">
        <v>308</v>
      </c>
      <c r="K26" s="453" t="s">
        <v>308</v>
      </c>
      <c r="L26" s="436" t="s">
        <v>150</v>
      </c>
      <c r="M26" s="450" t="s">
        <v>148</v>
      </c>
      <c r="N26" s="73" t="s">
        <v>148</v>
      </c>
    </row>
    <row r="27" spans="1:14" ht="22.5">
      <c r="A27" s="57" t="s">
        <v>191</v>
      </c>
      <c r="B27" s="62" t="s">
        <v>308</v>
      </c>
      <c r="C27" s="463" t="s">
        <v>150</v>
      </c>
      <c r="D27" s="435" t="s">
        <v>149</v>
      </c>
      <c r="E27" s="437" t="s">
        <v>148</v>
      </c>
      <c r="F27" s="435" t="s">
        <v>149</v>
      </c>
      <c r="G27" s="435" t="s">
        <v>149</v>
      </c>
      <c r="H27" s="453" t="s">
        <v>308</v>
      </c>
      <c r="I27" s="453" t="s">
        <v>308</v>
      </c>
      <c r="J27" s="453" t="s">
        <v>308</v>
      </c>
      <c r="K27" s="453" t="s">
        <v>308</v>
      </c>
      <c r="L27" s="435" t="s">
        <v>149</v>
      </c>
      <c r="M27" s="450" t="s">
        <v>148</v>
      </c>
      <c r="N27" s="73" t="s">
        <v>148</v>
      </c>
    </row>
    <row r="28" spans="1:14" ht="12.75">
      <c r="A28" s="57" t="s">
        <v>192</v>
      </c>
      <c r="B28" s="62" t="s">
        <v>308</v>
      </c>
      <c r="C28" s="463" t="s">
        <v>150</v>
      </c>
      <c r="D28" s="435" t="s">
        <v>149</v>
      </c>
      <c r="E28" s="437" t="s">
        <v>148</v>
      </c>
      <c r="F28" s="435" t="s">
        <v>149</v>
      </c>
      <c r="G28" s="436" t="s">
        <v>150</v>
      </c>
      <c r="H28" s="435" t="s">
        <v>149</v>
      </c>
      <c r="I28" s="437" t="s">
        <v>148</v>
      </c>
      <c r="J28" s="437" t="s">
        <v>148</v>
      </c>
      <c r="K28" s="437" t="s">
        <v>148</v>
      </c>
      <c r="L28" s="436" t="s">
        <v>150</v>
      </c>
      <c r="M28" s="450" t="s">
        <v>148</v>
      </c>
      <c r="N28" s="73" t="s">
        <v>148</v>
      </c>
    </row>
    <row r="29" spans="1:14" ht="13.5" thickBot="1">
      <c r="A29" s="64" t="s">
        <v>193</v>
      </c>
      <c r="B29" s="74" t="s">
        <v>150</v>
      </c>
      <c r="C29" s="473" t="s">
        <v>151</v>
      </c>
      <c r="D29" s="471" t="s">
        <v>151</v>
      </c>
      <c r="E29" s="471" t="s">
        <v>151</v>
      </c>
      <c r="F29" s="363" t="s">
        <v>151</v>
      </c>
      <c r="G29" s="471" t="s">
        <v>151</v>
      </c>
      <c r="H29" s="471" t="s">
        <v>151</v>
      </c>
      <c r="I29" s="471" t="s">
        <v>151</v>
      </c>
      <c r="J29" s="471" t="s">
        <v>151</v>
      </c>
      <c r="K29" s="471" t="s">
        <v>151</v>
      </c>
      <c r="L29" s="471" t="s">
        <v>151</v>
      </c>
      <c r="M29" s="451" t="s">
        <v>150</v>
      </c>
      <c r="N29" s="75" t="s">
        <v>150</v>
      </c>
    </row>
    <row r="30" spans="1:14" s="76" customFormat="1" ht="12.75" thickBot="1">
      <c r="A30" s="564" t="s">
        <v>39</v>
      </c>
      <c r="B30" s="565"/>
      <c r="C30" s="565"/>
      <c r="D30" s="565"/>
      <c r="E30" s="565"/>
      <c r="F30" s="565"/>
      <c r="G30" s="565"/>
      <c r="H30" s="600"/>
      <c r="I30" s="600"/>
      <c r="J30" s="600"/>
      <c r="K30" s="600"/>
      <c r="L30" s="600"/>
      <c r="M30" s="600"/>
      <c r="N30" s="601"/>
    </row>
    <row r="31" spans="1:14" ht="12.75">
      <c r="A31" s="54" t="s">
        <v>194</v>
      </c>
      <c r="B31" s="77" t="s">
        <v>150</v>
      </c>
      <c r="C31" s="460" t="s">
        <v>150</v>
      </c>
      <c r="D31" s="434" t="s">
        <v>150</v>
      </c>
      <c r="E31" s="434" t="s">
        <v>150</v>
      </c>
      <c r="F31" s="436" t="s">
        <v>150</v>
      </c>
      <c r="G31" s="434" t="s">
        <v>150</v>
      </c>
      <c r="H31" s="434" t="s">
        <v>150</v>
      </c>
      <c r="I31" s="472" t="s">
        <v>149</v>
      </c>
      <c r="J31" s="472" t="s">
        <v>149</v>
      </c>
      <c r="K31" s="472" t="s">
        <v>149</v>
      </c>
      <c r="L31" s="434" t="s">
        <v>150</v>
      </c>
      <c r="M31" s="442" t="s">
        <v>150</v>
      </c>
      <c r="N31" s="56" t="s">
        <v>150</v>
      </c>
    </row>
    <row r="32" spans="1:14" ht="12.75">
      <c r="A32" s="57" t="s">
        <v>195</v>
      </c>
      <c r="B32" s="60" t="s">
        <v>150</v>
      </c>
      <c r="C32" s="463" t="s">
        <v>150</v>
      </c>
      <c r="D32" s="436" t="s">
        <v>150</v>
      </c>
      <c r="E32" s="436" t="s">
        <v>150</v>
      </c>
      <c r="F32" s="436" t="s">
        <v>150</v>
      </c>
      <c r="G32" s="363" t="s">
        <v>151</v>
      </c>
      <c r="H32" s="363" t="s">
        <v>151</v>
      </c>
      <c r="I32" s="436" t="s">
        <v>150</v>
      </c>
      <c r="J32" s="436" t="s">
        <v>150</v>
      </c>
      <c r="K32" s="436" t="s">
        <v>150</v>
      </c>
      <c r="L32" s="363" t="s">
        <v>151</v>
      </c>
      <c r="M32" s="444" t="s">
        <v>150</v>
      </c>
      <c r="N32" s="61" t="s">
        <v>150</v>
      </c>
    </row>
    <row r="33" spans="1:14" ht="12.75">
      <c r="A33" s="57" t="s">
        <v>40</v>
      </c>
      <c r="B33" s="60" t="s">
        <v>150</v>
      </c>
      <c r="C33" s="463" t="s">
        <v>150</v>
      </c>
      <c r="D33" s="436" t="s">
        <v>150</v>
      </c>
      <c r="E33" s="436" t="s">
        <v>150</v>
      </c>
      <c r="F33" s="436" t="s">
        <v>150</v>
      </c>
      <c r="G33" s="363" t="s">
        <v>151</v>
      </c>
      <c r="H33" s="363" t="s">
        <v>151</v>
      </c>
      <c r="I33" s="436" t="s">
        <v>150</v>
      </c>
      <c r="J33" s="436" t="s">
        <v>150</v>
      </c>
      <c r="K33" s="436" t="s">
        <v>150</v>
      </c>
      <c r="L33" s="363" t="s">
        <v>151</v>
      </c>
      <c r="M33" s="444" t="s">
        <v>150</v>
      </c>
      <c r="N33" s="61" t="s">
        <v>150</v>
      </c>
    </row>
    <row r="34" spans="1:14" ht="12.75">
      <c r="A34" s="57" t="s">
        <v>48</v>
      </c>
      <c r="B34" s="58" t="s">
        <v>148</v>
      </c>
      <c r="C34" s="461" t="s">
        <v>149</v>
      </c>
      <c r="D34" s="435" t="s">
        <v>149</v>
      </c>
      <c r="E34" s="435" t="s">
        <v>149</v>
      </c>
      <c r="F34" s="435" t="s">
        <v>149</v>
      </c>
      <c r="G34" s="363" t="s">
        <v>151</v>
      </c>
      <c r="H34" s="363" t="s">
        <v>151</v>
      </c>
      <c r="I34" s="436" t="s">
        <v>150</v>
      </c>
      <c r="J34" s="436" t="s">
        <v>150</v>
      </c>
      <c r="K34" s="436" t="s">
        <v>150</v>
      </c>
      <c r="L34" s="363" t="s">
        <v>151</v>
      </c>
      <c r="M34" s="443" t="s">
        <v>149</v>
      </c>
      <c r="N34" s="59" t="s">
        <v>149</v>
      </c>
    </row>
    <row r="35" spans="1:14" ht="12.75">
      <c r="A35" s="57" t="s">
        <v>196</v>
      </c>
      <c r="B35" s="58" t="s">
        <v>148</v>
      </c>
      <c r="C35" s="461" t="s">
        <v>149</v>
      </c>
      <c r="D35" s="435" t="s">
        <v>149</v>
      </c>
      <c r="E35" s="435" t="s">
        <v>149</v>
      </c>
      <c r="F35" s="435" t="s">
        <v>149</v>
      </c>
      <c r="G35" s="363" t="s">
        <v>151</v>
      </c>
      <c r="H35" s="363" t="s">
        <v>151</v>
      </c>
      <c r="I35" s="436" t="s">
        <v>150</v>
      </c>
      <c r="J35" s="436" t="s">
        <v>150</v>
      </c>
      <c r="K35" s="436" t="s">
        <v>150</v>
      </c>
      <c r="L35" s="363" t="s">
        <v>151</v>
      </c>
      <c r="M35" s="443" t="s">
        <v>149</v>
      </c>
      <c r="N35" s="59" t="s">
        <v>149</v>
      </c>
    </row>
    <row r="36" spans="1:14" ht="13.5" thickBot="1">
      <c r="A36" s="64" t="s">
        <v>197</v>
      </c>
      <c r="B36" s="65" t="s">
        <v>308</v>
      </c>
      <c r="C36" s="464" t="s">
        <v>149</v>
      </c>
      <c r="D36" s="439" t="s">
        <v>149</v>
      </c>
      <c r="E36" s="439" t="s">
        <v>149</v>
      </c>
      <c r="F36" s="435" t="s">
        <v>149</v>
      </c>
      <c r="G36" s="440" t="s">
        <v>150</v>
      </c>
      <c r="H36" s="440" t="s">
        <v>150</v>
      </c>
      <c r="I36" s="439" t="s">
        <v>149</v>
      </c>
      <c r="J36" s="439" t="s">
        <v>149</v>
      </c>
      <c r="K36" s="439" t="s">
        <v>149</v>
      </c>
      <c r="L36" s="440" t="s">
        <v>150</v>
      </c>
      <c r="M36" s="449" t="s">
        <v>149</v>
      </c>
      <c r="N36" s="70" t="s">
        <v>149</v>
      </c>
    </row>
    <row r="37" spans="1:14" ht="13.5" thickBot="1">
      <c r="A37" s="602" t="s">
        <v>198</v>
      </c>
      <c r="B37" s="603"/>
      <c r="C37" s="603"/>
      <c r="D37" s="603"/>
      <c r="E37" s="603"/>
      <c r="F37" s="603"/>
      <c r="G37" s="603"/>
      <c r="H37" s="604"/>
      <c r="I37" s="604"/>
      <c r="J37" s="604"/>
      <c r="K37" s="604"/>
      <c r="L37" s="604"/>
      <c r="M37" s="604"/>
      <c r="N37" s="605"/>
    </row>
    <row r="38" spans="1:14" ht="12.75">
      <c r="A38" s="54" t="s">
        <v>42</v>
      </c>
      <c r="B38" s="77" t="s">
        <v>150</v>
      </c>
      <c r="C38" s="460" t="s">
        <v>150</v>
      </c>
      <c r="D38" s="434" t="s">
        <v>150</v>
      </c>
      <c r="E38" s="434" t="s">
        <v>150</v>
      </c>
      <c r="F38" s="436" t="s">
        <v>150</v>
      </c>
      <c r="G38" s="434" t="s">
        <v>150</v>
      </c>
      <c r="H38" s="434" t="s">
        <v>150</v>
      </c>
      <c r="I38" s="434" t="s">
        <v>150</v>
      </c>
      <c r="J38" s="434" t="s">
        <v>150</v>
      </c>
      <c r="K38" s="434" t="s">
        <v>150</v>
      </c>
      <c r="L38" s="434" t="s">
        <v>150</v>
      </c>
      <c r="M38" s="442" t="s">
        <v>150</v>
      </c>
      <c r="N38" s="56" t="s">
        <v>150</v>
      </c>
    </row>
    <row r="39" spans="1:14" ht="12.75">
      <c r="A39" s="57" t="s">
        <v>49</v>
      </c>
      <c r="B39" s="60" t="s">
        <v>150</v>
      </c>
      <c r="C39" s="463" t="s">
        <v>150</v>
      </c>
      <c r="D39" s="435" t="s">
        <v>149</v>
      </c>
      <c r="E39" s="435" t="s">
        <v>149</v>
      </c>
      <c r="F39" s="435" t="s">
        <v>149</v>
      </c>
      <c r="G39" s="436" t="s">
        <v>150</v>
      </c>
      <c r="H39" s="436" t="s">
        <v>150</v>
      </c>
      <c r="I39" s="435" t="s">
        <v>149</v>
      </c>
      <c r="J39" s="435" t="s">
        <v>149</v>
      </c>
      <c r="K39" s="435" t="s">
        <v>149</v>
      </c>
      <c r="L39" s="436" t="s">
        <v>150</v>
      </c>
      <c r="M39" s="444" t="s">
        <v>150</v>
      </c>
      <c r="N39" s="61" t="s">
        <v>150</v>
      </c>
    </row>
    <row r="40" spans="1:14" ht="12.75">
      <c r="A40" s="57" t="s">
        <v>199</v>
      </c>
      <c r="B40" s="78" t="s">
        <v>149</v>
      </c>
      <c r="C40" s="461" t="s">
        <v>149</v>
      </c>
      <c r="D40" s="435" t="s">
        <v>149</v>
      </c>
      <c r="E40" s="435" t="s">
        <v>149</v>
      </c>
      <c r="F40" s="435" t="s">
        <v>149</v>
      </c>
      <c r="G40" s="435" t="s">
        <v>149</v>
      </c>
      <c r="H40" s="435" t="s">
        <v>149</v>
      </c>
      <c r="I40" s="435" t="s">
        <v>149</v>
      </c>
      <c r="J40" s="435" t="s">
        <v>149</v>
      </c>
      <c r="K40" s="435" t="s">
        <v>149</v>
      </c>
      <c r="L40" s="436" t="s">
        <v>150</v>
      </c>
      <c r="M40" s="443" t="s">
        <v>149</v>
      </c>
      <c r="N40" s="59" t="s">
        <v>149</v>
      </c>
    </row>
    <row r="41" spans="1:14" ht="13.5" thickBot="1">
      <c r="A41" s="64" t="s">
        <v>200</v>
      </c>
      <c r="B41" s="79" t="s">
        <v>150</v>
      </c>
      <c r="C41" s="462" t="s">
        <v>150</v>
      </c>
      <c r="D41" s="441" t="s">
        <v>150</v>
      </c>
      <c r="E41" s="441" t="s">
        <v>150</v>
      </c>
      <c r="F41" s="441" t="s">
        <v>150</v>
      </c>
      <c r="G41" s="441" t="s">
        <v>150</v>
      </c>
      <c r="H41" s="441" t="s">
        <v>150</v>
      </c>
      <c r="I41" s="441" t="s">
        <v>150</v>
      </c>
      <c r="J41" s="441" t="s">
        <v>150</v>
      </c>
      <c r="K41" s="441" t="s">
        <v>150</v>
      </c>
      <c r="L41" s="441" t="s">
        <v>150</v>
      </c>
      <c r="M41" s="452" t="s">
        <v>150</v>
      </c>
      <c r="N41" s="80" t="s">
        <v>150</v>
      </c>
    </row>
    <row r="42" spans="1:14" ht="12.75">
      <c r="A42" s="81"/>
      <c r="B42" s="82"/>
      <c r="C42" s="83"/>
      <c r="D42" s="83"/>
      <c r="E42" s="83"/>
      <c r="F42" s="83"/>
      <c r="G42" s="83"/>
      <c r="H42" s="83"/>
      <c r="I42" s="83"/>
      <c r="J42" s="83"/>
      <c r="K42" s="83"/>
      <c r="L42" s="83"/>
      <c r="M42" s="83"/>
      <c r="N42" s="83"/>
    </row>
    <row r="43" spans="1:14" ht="12.75">
      <c r="A43" s="81"/>
      <c r="B43" s="83"/>
      <c r="C43" s="83"/>
      <c r="D43" s="83"/>
      <c r="E43" s="83"/>
      <c r="F43" s="83"/>
      <c r="G43" s="83"/>
      <c r="H43" s="83"/>
      <c r="I43" s="83"/>
      <c r="J43" s="83"/>
      <c r="K43" s="83"/>
      <c r="L43" s="83"/>
      <c r="M43" s="83"/>
      <c r="N43" s="83"/>
    </row>
    <row r="44" spans="1:14" ht="12.75">
      <c r="A44" s="81"/>
      <c r="B44" s="83"/>
      <c r="C44" s="83"/>
      <c r="D44" s="83"/>
      <c r="E44" s="83"/>
      <c r="F44" s="83"/>
      <c r="G44" s="83"/>
      <c r="H44" s="83"/>
      <c r="I44" s="83"/>
      <c r="J44" s="83"/>
      <c r="K44" s="83"/>
      <c r="L44" s="83"/>
      <c r="M44" s="83"/>
      <c r="N44" s="83"/>
    </row>
    <row r="45" spans="1:16" ht="12.75">
      <c r="A45" s="84"/>
      <c r="B45" s="85"/>
      <c r="C45" s="85"/>
      <c r="D45" s="85"/>
      <c r="E45" s="85"/>
      <c r="F45" s="85"/>
      <c r="G45" s="85"/>
      <c r="H45" s="85"/>
      <c r="I45" s="85"/>
      <c r="J45" s="85"/>
      <c r="K45" s="85"/>
      <c r="L45" s="85"/>
      <c r="M45" s="85"/>
      <c r="N45" s="85"/>
      <c r="O45" s="86"/>
      <c r="P45" s="86"/>
    </row>
    <row r="46" spans="1:16" ht="12.75">
      <c r="A46" s="84"/>
      <c r="B46" s="85"/>
      <c r="C46" s="85"/>
      <c r="D46" s="85"/>
      <c r="E46" s="85"/>
      <c r="F46" s="85"/>
      <c r="G46" s="85"/>
      <c r="H46" s="85"/>
      <c r="I46" s="85"/>
      <c r="J46" s="85"/>
      <c r="K46" s="85"/>
      <c r="L46" s="85"/>
      <c r="M46" s="85"/>
      <c r="N46" s="85"/>
      <c r="O46" s="86"/>
      <c r="P46" s="86"/>
    </row>
    <row r="47" spans="1:16" ht="12.75">
      <c r="A47" s="84"/>
      <c r="B47" s="85"/>
      <c r="C47" s="85"/>
      <c r="D47" s="85"/>
      <c r="E47" s="85"/>
      <c r="F47" s="85"/>
      <c r="G47" s="85"/>
      <c r="H47" s="85"/>
      <c r="I47" s="85"/>
      <c r="J47" s="85"/>
      <c r="K47" s="85"/>
      <c r="L47" s="85"/>
      <c r="M47" s="85"/>
      <c r="N47" s="85"/>
      <c r="O47" s="86"/>
      <c r="P47" s="86"/>
    </row>
    <row r="48" spans="1:16" ht="12.75">
      <c r="A48" s="84"/>
      <c r="B48" s="85"/>
      <c r="C48" s="85"/>
      <c r="D48" s="85"/>
      <c r="E48" s="85"/>
      <c r="F48" s="85"/>
      <c r="G48" s="85"/>
      <c r="H48" s="85"/>
      <c r="I48" s="85"/>
      <c r="J48" s="85"/>
      <c r="K48" s="85"/>
      <c r="L48" s="85"/>
      <c r="M48" s="85"/>
      <c r="N48" s="85"/>
      <c r="O48" s="86"/>
      <c r="P48" s="86"/>
    </row>
    <row r="49" spans="1:16" ht="12.75">
      <c r="A49" s="84"/>
      <c r="B49" s="85"/>
      <c r="C49" s="85"/>
      <c r="D49" s="85"/>
      <c r="E49" s="85"/>
      <c r="F49" s="85"/>
      <c r="G49" s="85"/>
      <c r="H49" s="85"/>
      <c r="I49" s="85"/>
      <c r="J49" s="85"/>
      <c r="K49" s="85"/>
      <c r="L49" s="85"/>
      <c r="M49" s="85"/>
      <c r="N49" s="85"/>
      <c r="O49" s="86"/>
      <c r="P49" s="86"/>
    </row>
    <row r="50" spans="1:19" ht="12.75">
      <c r="A50" s="84"/>
      <c r="B50" s="85"/>
      <c r="C50" s="85"/>
      <c r="D50" s="85"/>
      <c r="E50" s="85"/>
      <c r="F50" s="85"/>
      <c r="G50" s="85"/>
      <c r="H50" s="85"/>
      <c r="I50" s="85"/>
      <c r="J50" s="85"/>
      <c r="K50" s="85"/>
      <c r="L50" s="85"/>
      <c r="M50" s="85"/>
      <c r="N50" s="85"/>
      <c r="O50" s="87" t="s">
        <v>201</v>
      </c>
      <c r="P50" s="88" t="s">
        <v>202</v>
      </c>
      <c r="S50" s="89" t="s">
        <v>203</v>
      </c>
    </row>
    <row r="51" spans="1:19" ht="12.75" hidden="1">
      <c r="A51" s="454">
        <f>MATCH(PrimaryCOC,A4:A41,0)</f>
        <v>15</v>
      </c>
      <c r="B51" s="90" t="str">
        <f aca="true" t="shared" si="0" ref="B51:M51">INDEX(B4:B41,$A$51)</f>
        <v>Excellent</v>
      </c>
      <c r="C51" s="90" t="str">
        <f t="shared" si="0"/>
        <v>Excellent</v>
      </c>
      <c r="D51" s="90" t="str">
        <f t="shared" si="0"/>
        <v>Excellent</v>
      </c>
      <c r="E51" s="90" t="str">
        <f t="shared" si="0"/>
        <v>Excellent</v>
      </c>
      <c r="F51" s="90" t="str">
        <f t="shared" si="0"/>
        <v>Excellent</v>
      </c>
      <c r="G51" s="90" t="str">
        <f t="shared" si="0"/>
        <v>Excellent</v>
      </c>
      <c r="H51" s="90" t="str">
        <f t="shared" si="0"/>
        <v>Excellent</v>
      </c>
      <c r="I51" s="90" t="str">
        <f t="shared" si="0"/>
        <v>Excellent</v>
      </c>
      <c r="J51" s="90" t="str">
        <f t="shared" si="0"/>
        <v>Excellent</v>
      </c>
      <c r="K51" s="90" t="str">
        <f t="shared" si="0"/>
        <v>Excellent</v>
      </c>
      <c r="L51" s="90" t="str">
        <f t="shared" si="0"/>
        <v>Excellent</v>
      </c>
      <c r="M51" s="90" t="str">
        <f t="shared" si="0"/>
        <v>Excellent</v>
      </c>
      <c r="N51" s="90" t="str">
        <f>INDEX(N$4:N$41,$A51)</f>
        <v>Excellent</v>
      </c>
      <c r="O51" s="91" t="s">
        <v>204</v>
      </c>
      <c r="P51" s="92" t="str">
        <f>INDEX(A$4:A$41,A51)</f>
        <v>Trichloroethene (TCE)</v>
      </c>
      <c r="S51" s="53">
        <f>Output!J3</f>
        <v>3</v>
      </c>
    </row>
    <row r="52" spans="1:19" ht="13.5" customHeight="1" hidden="1">
      <c r="A52" s="454" t="e">
        <f>MATCH(SecondaryCOC,A4:A41,0)</f>
        <v>#N/A</v>
      </c>
      <c r="B52" s="90" t="e">
        <f aca="true" t="shared" si="1" ref="B52:M52">INDEX(B$4:B$41,$A52)</f>
        <v>#N/A</v>
      </c>
      <c r="C52" s="90" t="e">
        <f t="shared" si="1"/>
        <v>#N/A</v>
      </c>
      <c r="D52" s="90" t="e">
        <f t="shared" si="1"/>
        <v>#N/A</v>
      </c>
      <c r="E52" s="90" t="e">
        <f t="shared" si="1"/>
        <v>#N/A</v>
      </c>
      <c r="F52" s="90" t="e">
        <f t="shared" si="1"/>
        <v>#N/A</v>
      </c>
      <c r="G52" s="90" t="e">
        <f t="shared" si="1"/>
        <v>#N/A</v>
      </c>
      <c r="H52" s="90" t="e">
        <f t="shared" si="1"/>
        <v>#N/A</v>
      </c>
      <c r="I52" s="90" t="e">
        <f t="shared" si="1"/>
        <v>#N/A</v>
      </c>
      <c r="J52" s="90" t="e">
        <f t="shared" si="1"/>
        <v>#N/A</v>
      </c>
      <c r="K52" s="90" t="e">
        <f t="shared" si="1"/>
        <v>#N/A</v>
      </c>
      <c r="L52" s="90" t="e">
        <f t="shared" si="1"/>
        <v>#N/A</v>
      </c>
      <c r="M52" s="90" t="e">
        <f t="shared" si="1"/>
        <v>#N/A</v>
      </c>
      <c r="N52" s="90" t="e">
        <f>INDEX(N$4:N$41,$A52)</f>
        <v>#N/A</v>
      </c>
      <c r="O52" s="91" t="s">
        <v>205</v>
      </c>
      <c r="P52" s="92" t="e">
        <f>INDEX(A$4:A$41,A52)</f>
        <v>#N/A</v>
      </c>
      <c r="S52" s="53">
        <f>Output!J4</f>
        <v>3</v>
      </c>
    </row>
    <row r="53" ht="12.75" hidden="1">
      <c r="A53" s="455"/>
    </row>
    <row r="54" spans="1:14" ht="12.75" hidden="1">
      <c r="A54" s="456" t="s">
        <v>137</v>
      </c>
      <c r="B54" s="93">
        <f aca="true" t="shared" si="2" ref="B54:N54">+IF(B51="Not Recommended",1,MATCH(B51,Ratings,0))</f>
        <v>5</v>
      </c>
      <c r="C54" s="93">
        <f t="shared" si="2"/>
        <v>5</v>
      </c>
      <c r="D54" s="93">
        <f t="shared" si="2"/>
        <v>5</v>
      </c>
      <c r="E54" s="93">
        <f t="shared" si="2"/>
        <v>5</v>
      </c>
      <c r="F54" s="93">
        <f t="shared" si="2"/>
        <v>5</v>
      </c>
      <c r="G54" s="93">
        <f t="shared" si="2"/>
        <v>5</v>
      </c>
      <c r="H54" s="93">
        <f t="shared" si="2"/>
        <v>5</v>
      </c>
      <c r="I54" s="93">
        <f t="shared" si="2"/>
        <v>5</v>
      </c>
      <c r="J54" s="93">
        <f t="shared" si="2"/>
        <v>5</v>
      </c>
      <c r="K54" s="93">
        <f t="shared" si="2"/>
        <v>5</v>
      </c>
      <c r="L54" s="93">
        <f t="shared" si="2"/>
        <v>5</v>
      </c>
      <c r="M54" s="93">
        <f t="shared" si="2"/>
        <v>5</v>
      </c>
      <c r="N54" s="93">
        <f t="shared" si="2"/>
        <v>5</v>
      </c>
    </row>
    <row r="55" spans="1:14" ht="12.75" hidden="1">
      <c r="A55" s="457"/>
      <c r="B55" s="93" t="e">
        <f aca="true" t="shared" si="3" ref="B55:N55">+IF(B52="Not Recommended",1,MATCH(B52,Ratings,0))</f>
        <v>#N/A</v>
      </c>
      <c r="C55" s="93" t="e">
        <f t="shared" si="3"/>
        <v>#N/A</v>
      </c>
      <c r="D55" s="93" t="e">
        <f t="shared" si="3"/>
        <v>#N/A</v>
      </c>
      <c r="E55" s="93" t="e">
        <f t="shared" si="3"/>
        <v>#N/A</v>
      </c>
      <c r="F55" s="93" t="e">
        <f t="shared" si="3"/>
        <v>#N/A</v>
      </c>
      <c r="G55" s="93" t="e">
        <f t="shared" si="3"/>
        <v>#N/A</v>
      </c>
      <c r="H55" s="93" t="e">
        <f t="shared" si="3"/>
        <v>#N/A</v>
      </c>
      <c r="I55" s="93" t="e">
        <f t="shared" si="3"/>
        <v>#N/A</v>
      </c>
      <c r="J55" s="93" t="e">
        <f t="shared" si="3"/>
        <v>#N/A</v>
      </c>
      <c r="K55" s="93" t="e">
        <f t="shared" si="3"/>
        <v>#N/A</v>
      </c>
      <c r="L55" s="93" t="e">
        <f t="shared" si="3"/>
        <v>#N/A</v>
      </c>
      <c r="M55" s="93" t="e">
        <f t="shared" si="3"/>
        <v>#N/A</v>
      </c>
      <c r="N55" s="93" t="e">
        <f t="shared" si="3"/>
        <v>#N/A</v>
      </c>
    </row>
    <row r="56" spans="1:14" ht="12.75" hidden="1">
      <c r="A56" s="456" t="s">
        <v>206</v>
      </c>
      <c r="B56" s="93">
        <f>+B54*$S51</f>
        <v>15</v>
      </c>
      <c r="C56" s="93">
        <f>+C54*$S51</f>
        <v>15</v>
      </c>
      <c r="F56" s="93">
        <f>+F54*$S51</f>
        <v>15</v>
      </c>
      <c r="G56" s="93">
        <f>+G54*$S51</f>
        <v>15</v>
      </c>
      <c r="N56" s="93">
        <f>+N54*$S51</f>
        <v>15</v>
      </c>
    </row>
    <row r="57" spans="1:14" ht="12.75" hidden="1">
      <c r="A57" s="455"/>
      <c r="B57" s="93" t="e">
        <f>+B55*$S52</f>
        <v>#N/A</v>
      </c>
      <c r="C57" s="93" t="e">
        <f>+C55*$S52</f>
        <v>#N/A</v>
      </c>
      <c r="F57" s="93" t="e">
        <f>+F55*$S52</f>
        <v>#N/A</v>
      </c>
      <c r="G57" s="93" t="e">
        <f>+G55*$S52</f>
        <v>#N/A</v>
      </c>
      <c r="N57" s="93" t="e">
        <f>+N55*$S52</f>
        <v>#N/A</v>
      </c>
    </row>
  </sheetData>
  <sheetProtection password="C979" sheet="1" objects="1" scenarios="1"/>
  <mergeCells count="8">
    <mergeCell ref="C1:E1"/>
    <mergeCell ref="M1:N1"/>
    <mergeCell ref="G1:L1"/>
    <mergeCell ref="A3:N3"/>
    <mergeCell ref="A30:N30"/>
    <mergeCell ref="A37:N37"/>
    <mergeCell ref="A16:N16"/>
    <mergeCell ref="A9:N9"/>
  </mergeCells>
  <printOptions horizontalCentered="1" verticalCentered="1"/>
  <pageMargins left="0.5" right="0.5" top="1" bottom="1" header="0.5" footer="0.5"/>
  <pageSetup fitToHeight="1" fitToWidth="1" horizontalDpi="600" verticalDpi="600" orientation="portrait" scale="44" r:id="rId3"/>
  <headerFooter alignWithMargins="0">
    <oddFooter>&amp;LAttachment 6 p. 1</oddFooter>
  </headerFooter>
  <legacyDrawing r:id="rId2"/>
</worksheet>
</file>

<file path=xl/worksheets/sheet7.xml><?xml version="1.0" encoding="utf-8"?>
<worksheet xmlns="http://schemas.openxmlformats.org/spreadsheetml/2006/main" xmlns:r="http://schemas.openxmlformats.org/officeDocument/2006/relationships">
  <sheetPr codeName="Sheet14"/>
  <dimension ref="A1:E87"/>
  <sheetViews>
    <sheetView view="pageBreakPreview" zoomScale="60" zoomScalePageLayoutView="0" workbookViewId="0" topLeftCell="A31">
      <selection activeCell="H34" sqref="H34"/>
    </sheetView>
  </sheetViews>
  <sheetFormatPr defaultColWidth="9.00390625" defaultRowHeight="15.75"/>
  <cols>
    <col min="1" max="1" width="24.375" style="0" bestFit="1" customWidth="1"/>
    <col min="2" max="2" width="30.125" style="0" bestFit="1" customWidth="1"/>
    <col min="3" max="3" width="22.00390625" style="0" bestFit="1" customWidth="1"/>
    <col min="4" max="4" width="12.50390625" style="0" bestFit="1" customWidth="1"/>
    <col min="5" max="5" width="30.125" style="0" bestFit="1" customWidth="1"/>
  </cols>
  <sheetData>
    <row r="1" spans="1:5" ht="15.75">
      <c r="A1" s="35" t="s">
        <v>27</v>
      </c>
      <c r="B1" s="36" t="str">
        <f>Media_type</f>
        <v>Unconsolidated media</v>
      </c>
      <c r="C1" s="32"/>
      <c r="D1" s="32" t="s">
        <v>139</v>
      </c>
      <c r="E1" t="s">
        <v>92</v>
      </c>
    </row>
    <row r="2" spans="1:5" ht="15.75">
      <c r="A2" s="32"/>
      <c r="B2" s="32"/>
      <c r="C2" s="32"/>
      <c r="D2" s="32" t="s">
        <v>140</v>
      </c>
      <c r="E2" t="s">
        <v>28</v>
      </c>
    </row>
    <row r="3" spans="1:4" ht="15.75">
      <c r="A3" s="32"/>
      <c r="B3" s="32">
        <f>IF(MATCH(B1,'1. Remedial Goal vs Media'!A4:A12,0)&gt;1,MATCH(B1,'1. Remedial Goal vs Media'!A4:A12,0)+1,MATCH(B1,'1. Remedial Goal vs Media'!A4:A12,0))</f>
        <v>1</v>
      </c>
      <c r="C3" s="37">
        <f>MATCH(B1,'1. Remedial Goal vs Media'!A4:A12,0)</f>
        <v>1</v>
      </c>
      <c r="D3" s="32"/>
    </row>
    <row r="4" spans="1:4" ht="15.75">
      <c r="A4" s="32" t="s">
        <v>141</v>
      </c>
      <c r="B4" s="32" t="s">
        <v>28</v>
      </c>
      <c r="C4" s="32" t="str">
        <f>INDEX('1. Remedial Goal vs Media'!A4:A12,B3)</f>
        <v>Unconsolidated media</v>
      </c>
      <c r="D4" s="32"/>
    </row>
    <row r="5" spans="1:4" ht="15.75">
      <c r="A5" s="32" t="s">
        <v>142</v>
      </c>
      <c r="B5" s="32">
        <f>ROWS(Consolidated_media_types)</f>
        <v>3</v>
      </c>
      <c r="C5" s="32"/>
      <c r="D5" s="32"/>
    </row>
    <row r="6" spans="1:4" ht="15.75">
      <c r="A6" s="32" t="s">
        <v>143</v>
      </c>
      <c r="B6" s="32">
        <f>ROWS(Unconsolidated_media_types)</f>
        <v>4</v>
      </c>
      <c r="C6" s="32"/>
      <c r="D6" s="32"/>
    </row>
    <row r="7" spans="1:4" ht="15.75">
      <c r="A7" s="32" t="s">
        <v>141</v>
      </c>
      <c r="B7" s="32" t="s">
        <v>92</v>
      </c>
      <c r="C7" s="32"/>
      <c r="D7" s="32"/>
    </row>
    <row r="8" spans="1:4" ht="15.75">
      <c r="A8" s="32"/>
      <c r="B8" s="32" t="str">
        <f>IF($B$1=$B$4,INDEX(Consolidated_media_types,ROWS(B$8:B8)),IF($B$1=$B$7,INDEX(Unconsolidated_media_types,ROWS(B$8:B8)),0))</f>
        <v>Homogeneous permeable</v>
      </c>
      <c r="C8" s="32">
        <f>ROWS(B$8:B8)</f>
        <v>1</v>
      </c>
      <c r="D8" s="32"/>
    </row>
    <row r="9" spans="1:4" ht="15.75">
      <c r="A9" s="32"/>
      <c r="B9" s="32" t="str">
        <f>IF($B$1=$B$4,INDEX(Consolidated_media_types,ROWS(B$8:B9)),IF($B$1=$B$7,INDEX(Unconsolidated_media_types,ROWS(B$8:B9)),0))</f>
        <v>Heterogeneous permeable</v>
      </c>
      <c r="C9" s="32"/>
      <c r="D9" s="32"/>
    </row>
    <row r="10" spans="1:4" ht="15.75">
      <c r="A10" s="32"/>
      <c r="B10" s="32" t="str">
        <f>IF($B$1=$B$4,INDEX(Consolidated_media_types,ROWS(B$8:B10)),IF($B$1=$B$7,INDEX(Unconsolidated_media_types,ROWS(B$8:B10)),0))</f>
        <v>Homogeneous impermeable</v>
      </c>
      <c r="C10" s="32"/>
      <c r="D10" s="32"/>
    </row>
    <row r="11" spans="1:4" ht="15.75">
      <c r="A11" s="32"/>
      <c r="B11" s="32" t="str">
        <f>IF($B$1=$B$4,"",IF($B$1=$B$7,INDEX(Unconsolidated_media_types,ROWS(B$8:B11)),0))</f>
        <v>Heterogeneous impermeable</v>
      </c>
      <c r="C11" s="32"/>
      <c r="D11" s="32"/>
    </row>
    <row r="12" spans="1:4" ht="15.75">
      <c r="A12" s="32" t="str">
        <f>Entry!A7</f>
        <v>Media</v>
      </c>
      <c r="B12" s="32" t="str">
        <f>Entry!B7</f>
        <v>Homogeneous permeable</v>
      </c>
      <c r="C12" s="37">
        <f>MATCH(B12,media_list,0)</f>
        <v>1</v>
      </c>
      <c r="D12" s="32" t="s">
        <v>144</v>
      </c>
    </row>
    <row r="13" spans="1:4" ht="15.75">
      <c r="A13" s="35" t="s">
        <v>20</v>
      </c>
      <c r="B13" s="32" t="str">
        <f>'1. Remedial Goal vs Media'!B27&amp;" "&amp;LOWER(A13)</f>
        <v>Low contaminant mass density</v>
      </c>
      <c r="C13" s="32">
        <f>MATCH(B13,'1. Remedial Goal vs Media'!A1:A13,0)</f>
        <v>1</v>
      </c>
      <c r="D13" s="32" t="s">
        <v>145</v>
      </c>
    </row>
    <row r="14" spans="1:4" ht="15.75">
      <c r="A14" s="32" t="str">
        <f>'1. Remedial Goal vs Media'!A29</f>
        <v>Removal magnitude (percent):</v>
      </c>
      <c r="B14" s="32" t="str">
        <f>'1. Remedial Goal vs Media'!B29</f>
        <v>Concentration reduction</v>
      </c>
      <c r="C14" s="32">
        <f>MATCH(B14,'1. Remedial Goal vs Media'!C2:K2)</f>
        <v>1</v>
      </c>
      <c r="D14" s="32" t="s">
        <v>111</v>
      </c>
    </row>
    <row r="15" spans="1:4" ht="15.75">
      <c r="A15" s="32" t="str">
        <f>Entry!A4</f>
        <v>Removal magnitude (percent)</v>
      </c>
      <c r="B15" s="32" t="str">
        <f>Entry!B4</f>
        <v>99-99.9</v>
      </c>
      <c r="C15" s="32">
        <f>MATCH(B15,'1. Remedial Goal vs Media'!C15:E15)</f>
        <v>3</v>
      </c>
      <c r="D15" s="32" t="s">
        <v>112</v>
      </c>
    </row>
    <row r="16" spans="1:4" ht="15.75">
      <c r="A16" s="32"/>
      <c r="B16" s="32"/>
      <c r="C16" s="32"/>
      <c r="D16" s="32"/>
    </row>
    <row r="17" spans="1:5" ht="15.75">
      <c r="A17" s="32"/>
      <c r="B17" s="32" t="s">
        <v>146</v>
      </c>
      <c r="C17" s="32" t="str">
        <f ca="1">OFFSET('1. Remedial Goal vs Media'!B1,C18,D18)</f>
        <v>Possible</v>
      </c>
      <c r="D17" s="32">
        <v>3</v>
      </c>
      <c r="E17" t="s">
        <v>109</v>
      </c>
    </row>
    <row r="18" spans="1:5" ht="15.75">
      <c r="A18" s="32"/>
      <c r="B18" s="32" t="s">
        <v>107</v>
      </c>
      <c r="C18" s="32">
        <f>D17+C3+C12</f>
        <v>5</v>
      </c>
      <c r="D18" s="32">
        <f>C15+C14-1</f>
        <v>3</v>
      </c>
      <c r="E18" t="s">
        <v>108</v>
      </c>
    </row>
    <row r="19" spans="1:4" ht="15.75">
      <c r="A19" s="32"/>
      <c r="B19" s="32"/>
      <c r="C19" s="32" t="e">
        <f ca="1">INDIRECT(C17)</f>
        <v>#REF!</v>
      </c>
      <c r="D19" s="32" t="str">
        <f>ADDRESS(C18,D18+2,4)</f>
        <v>E5</v>
      </c>
    </row>
    <row r="20" spans="1:4" ht="15.75">
      <c r="A20" s="32"/>
      <c r="B20" s="32"/>
      <c r="C20" s="32"/>
      <c r="D20" s="38"/>
    </row>
    <row r="21" spans="1:4" ht="15.75">
      <c r="A21" s="32"/>
      <c r="B21" s="32"/>
      <c r="C21" s="32"/>
      <c r="D21" s="38"/>
    </row>
    <row r="22" spans="1:4" ht="15.75">
      <c r="A22" s="32"/>
      <c r="B22" s="32"/>
      <c r="C22" s="32"/>
      <c r="D22" s="32" t="str">
        <f>'1. Remedial Goal vs Media'!J8</f>
        <v>Probable</v>
      </c>
    </row>
    <row r="23" spans="1:2" ht="15.75">
      <c r="A23">
        <v>1</v>
      </c>
      <c r="B23" s="39" t="s">
        <v>147</v>
      </c>
    </row>
    <row r="24" spans="1:2" ht="15.75">
      <c r="A24">
        <v>2</v>
      </c>
      <c r="B24" s="40" t="s">
        <v>148</v>
      </c>
    </row>
    <row r="25" spans="1:2" ht="15.75">
      <c r="A25">
        <v>3</v>
      </c>
      <c r="B25" s="41" t="s">
        <v>149</v>
      </c>
    </row>
    <row r="26" spans="1:2" ht="15.75">
      <c r="A26">
        <v>4</v>
      </c>
      <c r="B26" s="42" t="s">
        <v>150</v>
      </c>
    </row>
    <row r="27" spans="1:2" ht="15.75">
      <c r="A27">
        <v>5</v>
      </c>
      <c r="B27" s="43" t="s">
        <v>151</v>
      </c>
    </row>
    <row r="34" ht="15.75">
      <c r="B34" s="44" t="s">
        <v>25</v>
      </c>
    </row>
    <row r="35" ht="15.75">
      <c r="B35" t="s">
        <v>26</v>
      </c>
    </row>
    <row r="36" ht="15.75">
      <c r="B36" t="s">
        <v>88</v>
      </c>
    </row>
    <row r="37" ht="15.75">
      <c r="B37" t="s">
        <v>87</v>
      </c>
    </row>
    <row r="40" ht="15.75">
      <c r="B40" t="s">
        <v>152</v>
      </c>
    </row>
    <row r="41" ht="15.75">
      <c r="B41" s="45" t="s">
        <v>34</v>
      </c>
    </row>
    <row r="42" ht="15.75">
      <c r="B42" s="45" t="s">
        <v>33</v>
      </c>
    </row>
    <row r="43" ht="15.75">
      <c r="B43" s="45" t="s">
        <v>37</v>
      </c>
    </row>
    <row r="44" ht="15.75">
      <c r="B44" s="45" t="s">
        <v>39</v>
      </c>
    </row>
    <row r="45" ht="15.75">
      <c r="B45" s="45" t="s">
        <v>41</v>
      </c>
    </row>
    <row r="46" ht="15.75">
      <c r="B46" s="46" t="s">
        <v>153</v>
      </c>
    </row>
    <row r="51" ht="15.75">
      <c r="B51" t="s">
        <v>369</v>
      </c>
    </row>
    <row r="52" ht="15.75">
      <c r="B52" t="s">
        <v>154</v>
      </c>
    </row>
    <row r="57" ht="15.75">
      <c r="B57" s="47" t="s">
        <v>155</v>
      </c>
    </row>
    <row r="58" spans="1:2" ht="15.75">
      <c r="A58" t="s">
        <v>156</v>
      </c>
      <c r="B58" t="s">
        <v>157</v>
      </c>
    </row>
    <row r="59" spans="1:2" ht="16.5">
      <c r="A59" t="s">
        <v>158</v>
      </c>
      <c r="B59" s="48" t="s">
        <v>159</v>
      </c>
    </row>
    <row r="60" spans="1:2" ht="16.5">
      <c r="A60" t="s">
        <v>160</v>
      </c>
      <c r="B60" s="48" t="s">
        <v>159</v>
      </c>
    </row>
    <row r="61" spans="1:2" ht="15.75">
      <c r="A61" t="s">
        <v>161</v>
      </c>
      <c r="B61" t="s">
        <v>157</v>
      </c>
    </row>
    <row r="62" spans="1:2" ht="15.75">
      <c r="A62" t="s">
        <v>162</v>
      </c>
      <c r="B62" s="47" t="s">
        <v>163</v>
      </c>
    </row>
    <row r="63" spans="1:3" ht="15.75">
      <c r="A63" t="s">
        <v>164</v>
      </c>
      <c r="B63" s="47" t="s">
        <v>163</v>
      </c>
      <c r="C63" s="49"/>
    </row>
    <row r="64" spans="1:2" ht="15.75">
      <c r="A64" t="s">
        <v>165</v>
      </c>
      <c r="B64" s="47" t="s">
        <v>163</v>
      </c>
    </row>
    <row r="65" spans="1:2" ht="15.75">
      <c r="A65" t="s">
        <v>166</v>
      </c>
      <c r="B65" s="47" t="s">
        <v>163</v>
      </c>
    </row>
    <row r="66" spans="1:2" ht="15.75">
      <c r="A66" t="s">
        <v>368</v>
      </c>
      <c r="B66" s="47" t="s">
        <v>163</v>
      </c>
    </row>
    <row r="67" spans="1:2" ht="15.75">
      <c r="A67" t="s">
        <v>167</v>
      </c>
      <c r="B67" t="s">
        <v>157</v>
      </c>
    </row>
    <row r="68" spans="1:2" ht="15.75">
      <c r="A68" t="s">
        <v>168</v>
      </c>
      <c r="B68" s="47" t="s">
        <v>169</v>
      </c>
    </row>
    <row r="73" ht="15.75">
      <c r="B73" t="s">
        <v>113</v>
      </c>
    </row>
    <row r="74" ht="15.75">
      <c r="B74" t="s">
        <v>170</v>
      </c>
    </row>
    <row r="81" spans="1:4" ht="15.75">
      <c r="A81" s="295" t="s">
        <v>354</v>
      </c>
      <c r="B81" t="s">
        <v>353</v>
      </c>
      <c r="D81" t="s">
        <v>355</v>
      </c>
    </row>
    <row r="82" spans="1:4" ht="15.75">
      <c r="A82" s="295" t="s">
        <v>319</v>
      </c>
      <c r="B82" t="str">
        <f>LEFT(A82,FIND(" ",A82))</f>
        <v>“Intense” </v>
      </c>
      <c r="C82" t="s">
        <v>327</v>
      </c>
      <c r="D82" t="s">
        <v>323</v>
      </c>
    </row>
    <row r="83" spans="1:4" ht="15.75">
      <c r="A83" s="295" t="s">
        <v>320</v>
      </c>
      <c r="B83" t="str">
        <f>LEFT(A83,FIND(" ",A83))</f>
        <v>“Moderate” </v>
      </c>
      <c r="D83" t="s">
        <v>324</v>
      </c>
    </row>
    <row r="84" spans="1:4" ht="15.75">
      <c r="A84" s="295" t="s">
        <v>321</v>
      </c>
      <c r="B84" t="str">
        <f>LEFT(A84,FIND(" ",A84))</f>
        <v>“light” </v>
      </c>
      <c r="D84" t="s">
        <v>325</v>
      </c>
    </row>
    <row r="85" spans="1:4" ht="15.75">
      <c r="A85" s="295" t="s">
        <v>322</v>
      </c>
      <c r="B85" t="str">
        <f>LEFT(A85,FIND(" ",A85))&amp;B84</f>
        <v>“very “light” </v>
      </c>
      <c r="D85" t="s">
        <v>326</v>
      </c>
    </row>
    <row r="86" ht="15.75">
      <c r="D86" t="str">
        <f>CONCATENATE(D82,", ",D83,", ",D84,", ",D85)</f>
        <v>Intense, Moderate, Light, Very light</v>
      </c>
    </row>
    <row r="87" ht="15.75">
      <c r="D87" t="s">
        <v>328</v>
      </c>
    </row>
  </sheetData>
  <sheetProtection/>
  <conditionalFormatting sqref="B41:B46">
    <cfRule type="cellIs" priority="1" dxfId="8" operator="equal" stopIfTrue="1">
      <formula>$B$11</formula>
    </cfRule>
  </conditionalFormatting>
  <dataValidations count="1">
    <dataValidation type="list" allowBlank="1" showInputMessage="1" showErrorMessage="1" sqref="B1">
      <formula1>Media_type</formula1>
    </dataValidation>
  </dataValidations>
  <printOptions/>
  <pageMargins left="0.75" right="0.75" top="1" bottom="1" header="0.5" footer="0.5"/>
  <pageSetup horizontalDpi="600" verticalDpi="600" orientation="landscape" r:id="rId2"/>
  <headerFooter alignWithMargins="0">
    <oddHeader>&amp;LISCO Oxidant-Delivery Options Based on Screening of Site Conditions, COC Conditions, and PRGs/RAOs</oddHeader>
  </headerFooter>
  <legacyDrawing r:id="rId1"/>
</worksheet>
</file>

<file path=xl/worksheets/sheet8.xml><?xml version="1.0" encoding="utf-8"?>
<worksheet xmlns="http://schemas.openxmlformats.org/spreadsheetml/2006/main" xmlns:r="http://schemas.openxmlformats.org/officeDocument/2006/relationships">
  <sheetPr codeName="Sheet12"/>
  <dimension ref="A1:M42"/>
  <sheetViews>
    <sheetView zoomScalePageLayoutView="0" workbookViewId="0" topLeftCell="A1">
      <selection activeCell="K17" sqref="K17"/>
    </sheetView>
  </sheetViews>
  <sheetFormatPr defaultColWidth="9.00390625" defaultRowHeight="15.75"/>
  <cols>
    <col min="1" max="1" width="28.75390625" style="12" customWidth="1"/>
    <col min="2" max="2" width="28.75390625" style="12" hidden="1" customWidth="1"/>
    <col min="3" max="3" width="8.625" style="12" customWidth="1"/>
    <col min="4" max="11" width="9.00390625" style="12" customWidth="1"/>
    <col min="12" max="13" width="0" style="12" hidden="1" customWidth="1"/>
    <col min="14" max="16384" width="9.00390625" style="12" customWidth="1"/>
  </cols>
  <sheetData>
    <row r="1" spans="1:11" ht="14.25" thickBot="1" thickTop="1">
      <c r="A1" s="614" t="s">
        <v>85</v>
      </c>
      <c r="B1" s="615"/>
      <c r="C1" s="615"/>
      <c r="D1" s="615"/>
      <c r="E1" s="615"/>
      <c r="F1" s="615"/>
      <c r="G1" s="615"/>
      <c r="H1" s="615"/>
      <c r="I1" s="615"/>
      <c r="J1" s="615"/>
      <c r="K1" s="616"/>
    </row>
    <row r="2" spans="1:13" ht="14.25" thickBot="1" thickTop="1">
      <c r="A2" s="13" t="s">
        <v>86</v>
      </c>
      <c r="B2" s="14"/>
      <c r="C2" s="617" t="s">
        <v>26</v>
      </c>
      <c r="D2" s="618"/>
      <c r="E2" s="619"/>
      <c r="F2" s="617" t="s">
        <v>87</v>
      </c>
      <c r="G2" s="618"/>
      <c r="H2" s="619"/>
      <c r="I2" s="617" t="s">
        <v>88</v>
      </c>
      <c r="J2" s="618"/>
      <c r="K2" s="620"/>
      <c r="L2" s="15">
        <f>'Named Ranges'!C18</f>
        <v>5</v>
      </c>
      <c r="M2" s="15">
        <f>'Named Ranges'!D18</f>
        <v>3</v>
      </c>
    </row>
    <row r="3" spans="1:13" ht="13.5" thickBot="1">
      <c r="A3" s="16" t="s">
        <v>89</v>
      </c>
      <c r="B3" s="17"/>
      <c r="C3" s="18" t="s">
        <v>90</v>
      </c>
      <c r="D3" s="18" t="s">
        <v>91</v>
      </c>
      <c r="E3" s="18" t="s">
        <v>24</v>
      </c>
      <c r="F3" s="18" t="s">
        <v>90</v>
      </c>
      <c r="G3" s="18" t="s">
        <v>91</v>
      </c>
      <c r="H3" s="18" t="s">
        <v>24</v>
      </c>
      <c r="I3" s="18" t="s">
        <v>90</v>
      </c>
      <c r="J3" s="18" t="s">
        <v>91</v>
      </c>
      <c r="K3" s="19" t="s">
        <v>24</v>
      </c>
      <c r="L3" s="15">
        <f>COLUMNS(B1)+M2</f>
        <v>4</v>
      </c>
      <c r="M3" s="15"/>
    </row>
    <row r="4" spans="1:13" ht="14.25" thickBot="1" thickTop="1">
      <c r="A4" s="20" t="s">
        <v>92</v>
      </c>
      <c r="B4" s="21"/>
      <c r="C4" s="22"/>
      <c r="D4" s="22"/>
      <c r="E4" s="22"/>
      <c r="F4" s="22"/>
      <c r="G4" s="22"/>
      <c r="H4" s="22"/>
      <c r="I4" s="22"/>
      <c r="J4" s="22"/>
      <c r="K4" s="23"/>
      <c r="L4" s="24" t="str">
        <f>C31</f>
        <v>Possible</v>
      </c>
      <c r="M4" s="15"/>
    </row>
    <row r="5" spans="1:13" ht="13.5" thickBot="1">
      <c r="A5" s="25" t="s">
        <v>93</v>
      </c>
      <c r="B5" s="26"/>
      <c r="C5" s="298" t="s">
        <v>94</v>
      </c>
      <c r="D5" s="298" t="s">
        <v>94</v>
      </c>
      <c r="E5" s="299" t="s">
        <v>95</v>
      </c>
      <c r="F5" s="298" t="s">
        <v>94</v>
      </c>
      <c r="G5" s="298" t="s">
        <v>94</v>
      </c>
      <c r="H5" s="299" t="s">
        <v>95</v>
      </c>
      <c r="I5" s="298" t="s">
        <v>94</v>
      </c>
      <c r="J5" s="298" t="s">
        <v>94</v>
      </c>
      <c r="K5" s="300" t="s">
        <v>95</v>
      </c>
      <c r="L5" s="15">
        <v>3</v>
      </c>
      <c r="M5" s="15">
        <f>ROWS(M$1:M5)-ROWS($M$1)</f>
        <v>4</v>
      </c>
    </row>
    <row r="6" spans="1:13" ht="13.5" thickBot="1">
      <c r="A6" s="25" t="s">
        <v>30</v>
      </c>
      <c r="B6" s="26"/>
      <c r="C6" s="298" t="s">
        <v>94</v>
      </c>
      <c r="D6" s="298" t="s">
        <v>94</v>
      </c>
      <c r="E6" s="299" t="s">
        <v>95</v>
      </c>
      <c r="F6" s="298" t="s">
        <v>94</v>
      </c>
      <c r="G6" s="299" t="s">
        <v>95</v>
      </c>
      <c r="H6" s="301" t="s">
        <v>96</v>
      </c>
      <c r="I6" s="298" t="s">
        <v>94</v>
      </c>
      <c r="J6" s="298" t="s">
        <v>94</v>
      </c>
      <c r="K6" s="300" t="s">
        <v>95</v>
      </c>
      <c r="L6" s="15"/>
      <c r="M6" s="15"/>
    </row>
    <row r="7" spans="1:13" ht="13.5" thickBot="1">
      <c r="A7" s="25" t="s">
        <v>97</v>
      </c>
      <c r="B7" s="26"/>
      <c r="C7" s="298" t="s">
        <v>94</v>
      </c>
      <c r="D7" s="299" t="s">
        <v>95</v>
      </c>
      <c r="E7" s="301" t="s">
        <v>96</v>
      </c>
      <c r="F7" s="298" t="s">
        <v>94</v>
      </c>
      <c r="G7" s="299" t="s">
        <v>95</v>
      </c>
      <c r="H7" s="301" t="s">
        <v>96</v>
      </c>
      <c r="I7" s="298" t="s">
        <v>94</v>
      </c>
      <c r="J7" s="298" t="s">
        <v>94</v>
      </c>
      <c r="K7" s="300" t="s">
        <v>95</v>
      </c>
      <c r="L7" s="15"/>
      <c r="M7" s="15"/>
    </row>
    <row r="8" spans="1:13" ht="13.5" thickBot="1">
      <c r="A8" s="25" t="s">
        <v>98</v>
      </c>
      <c r="B8" s="26"/>
      <c r="C8" s="298" t="s">
        <v>94</v>
      </c>
      <c r="D8" s="299" t="s">
        <v>95</v>
      </c>
      <c r="E8" s="301" t="s">
        <v>96</v>
      </c>
      <c r="F8" s="298" t="s">
        <v>94</v>
      </c>
      <c r="G8" s="299" t="s">
        <v>95</v>
      </c>
      <c r="H8" s="301" t="s">
        <v>96</v>
      </c>
      <c r="I8" s="298" t="s">
        <v>94</v>
      </c>
      <c r="J8" s="298" t="s">
        <v>94</v>
      </c>
      <c r="K8" s="300" t="s">
        <v>95</v>
      </c>
      <c r="L8" s="15"/>
      <c r="M8" s="15"/>
    </row>
    <row r="9" spans="1:13" ht="13.5" thickBot="1">
      <c r="A9" s="20" t="s">
        <v>28</v>
      </c>
      <c r="B9" s="21"/>
      <c r="C9" s="22"/>
      <c r="D9" s="22"/>
      <c r="E9" s="22"/>
      <c r="F9" s="22"/>
      <c r="G9" s="22"/>
      <c r="H9" s="22"/>
      <c r="I9" s="22"/>
      <c r="J9" s="22"/>
      <c r="K9" s="27"/>
      <c r="L9" s="15"/>
      <c r="M9" s="15"/>
    </row>
    <row r="10" spans="1:13" ht="13.5" thickBot="1">
      <c r="A10" s="25" t="s">
        <v>99</v>
      </c>
      <c r="B10" s="26"/>
      <c r="C10" s="299" t="s">
        <v>95</v>
      </c>
      <c r="D10" s="301" t="s">
        <v>96</v>
      </c>
      <c r="E10" s="301" t="s">
        <v>96</v>
      </c>
      <c r="F10" s="299" t="s">
        <v>95</v>
      </c>
      <c r="G10" s="301" t="s">
        <v>96</v>
      </c>
      <c r="H10" s="301" t="s">
        <v>96</v>
      </c>
      <c r="I10" s="299" t="s">
        <v>95</v>
      </c>
      <c r="J10" s="299" t="s">
        <v>95</v>
      </c>
      <c r="K10" s="302" t="s">
        <v>96</v>
      </c>
      <c r="L10" s="15">
        <f>4+1</f>
        <v>5</v>
      </c>
      <c r="M10" s="15">
        <f>ROWS($L$1:L10)-M5</f>
        <v>6</v>
      </c>
    </row>
    <row r="11" spans="1:13" ht="13.5" thickBot="1">
      <c r="A11" s="25" t="s">
        <v>100</v>
      </c>
      <c r="B11" s="26"/>
      <c r="C11" s="299" t="s">
        <v>95</v>
      </c>
      <c r="D11" s="301" t="s">
        <v>96</v>
      </c>
      <c r="E11" s="301" t="s">
        <v>96</v>
      </c>
      <c r="F11" s="299" t="s">
        <v>95</v>
      </c>
      <c r="G11" s="301" t="s">
        <v>96</v>
      </c>
      <c r="H11" s="301" t="s">
        <v>96</v>
      </c>
      <c r="I11" s="299" t="s">
        <v>95</v>
      </c>
      <c r="J11" s="299" t="s">
        <v>95</v>
      </c>
      <c r="K11" s="302" t="s">
        <v>96</v>
      </c>
      <c r="L11" s="15"/>
      <c r="M11" s="15"/>
    </row>
    <row r="12" spans="1:13" ht="13.5" thickBot="1">
      <c r="A12" s="28" t="s">
        <v>101</v>
      </c>
      <c r="B12" s="29"/>
      <c r="C12" s="303" t="s">
        <v>95</v>
      </c>
      <c r="D12" s="304" t="s">
        <v>96</v>
      </c>
      <c r="E12" s="304" t="s">
        <v>96</v>
      </c>
      <c r="F12" s="303" t="s">
        <v>95</v>
      </c>
      <c r="G12" s="304" t="s">
        <v>96</v>
      </c>
      <c r="H12" s="304" t="s">
        <v>96</v>
      </c>
      <c r="I12" s="303" t="s">
        <v>95</v>
      </c>
      <c r="J12" s="303" t="s">
        <v>95</v>
      </c>
      <c r="K12" s="305" t="s">
        <v>96</v>
      </c>
      <c r="L12" s="15"/>
      <c r="M12" s="15"/>
    </row>
    <row r="13" spans="1:13" ht="14.25" thickBot="1" thickTop="1">
      <c r="A13" s="614" t="s">
        <v>102</v>
      </c>
      <c r="B13" s="615"/>
      <c r="C13" s="615"/>
      <c r="D13" s="615"/>
      <c r="E13" s="615"/>
      <c r="F13" s="615"/>
      <c r="G13" s="615"/>
      <c r="H13" s="615"/>
      <c r="I13" s="615"/>
      <c r="J13" s="615"/>
      <c r="K13" s="616"/>
      <c r="L13" s="15"/>
      <c r="M13" s="15"/>
    </row>
    <row r="14" spans="1:13" ht="14.25" thickBot="1" thickTop="1">
      <c r="A14" s="20" t="s">
        <v>86</v>
      </c>
      <c r="B14" s="14"/>
      <c r="C14" s="610" t="s">
        <v>26</v>
      </c>
      <c r="D14" s="611"/>
      <c r="E14" s="612"/>
      <c r="F14" s="610" t="s">
        <v>87</v>
      </c>
      <c r="G14" s="611"/>
      <c r="H14" s="612"/>
      <c r="I14" s="610" t="s">
        <v>88</v>
      </c>
      <c r="J14" s="611"/>
      <c r="K14" s="613"/>
      <c r="L14" s="15"/>
      <c r="M14" s="15"/>
    </row>
    <row r="15" spans="1:13" ht="13.5" thickBot="1">
      <c r="A15" s="30" t="s">
        <v>89</v>
      </c>
      <c r="B15" s="31"/>
      <c r="C15" s="18" t="s">
        <v>90</v>
      </c>
      <c r="D15" s="18" t="s">
        <v>91</v>
      </c>
      <c r="E15" s="18" t="s">
        <v>24</v>
      </c>
      <c r="F15" s="18" t="s">
        <v>90</v>
      </c>
      <c r="G15" s="18" t="s">
        <v>91</v>
      </c>
      <c r="H15" s="18" t="s">
        <v>24</v>
      </c>
      <c r="I15" s="18" t="s">
        <v>90</v>
      </c>
      <c r="J15" s="18" t="s">
        <v>91</v>
      </c>
      <c r="K15" s="19" t="s">
        <v>24</v>
      </c>
      <c r="L15" s="15"/>
      <c r="M15" s="15"/>
    </row>
    <row r="16" spans="1:13" ht="14.25" thickBot="1" thickTop="1">
      <c r="A16" s="25" t="s">
        <v>103</v>
      </c>
      <c r="B16" s="26"/>
      <c r="C16" s="22"/>
      <c r="D16" s="22"/>
      <c r="E16" s="22"/>
      <c r="F16" s="22"/>
      <c r="G16" s="22"/>
      <c r="H16" s="22"/>
      <c r="I16" s="22"/>
      <c r="J16" s="22"/>
      <c r="K16" s="27"/>
      <c r="L16" s="15"/>
      <c r="M16" s="15"/>
    </row>
    <row r="17" spans="1:13" ht="13.5" thickBot="1">
      <c r="A17" s="25" t="s">
        <v>93</v>
      </c>
      <c r="B17" s="26"/>
      <c r="C17" s="298" t="s">
        <v>94</v>
      </c>
      <c r="D17" s="298" t="s">
        <v>94</v>
      </c>
      <c r="E17" s="299" t="s">
        <v>95</v>
      </c>
      <c r="F17" s="298" t="s">
        <v>94</v>
      </c>
      <c r="G17" s="298" t="s">
        <v>95</v>
      </c>
      <c r="H17" s="299" t="s">
        <v>95</v>
      </c>
      <c r="I17" s="298" t="s">
        <v>94</v>
      </c>
      <c r="J17" s="298" t="s">
        <v>94</v>
      </c>
      <c r="K17" s="300" t="s">
        <v>95</v>
      </c>
      <c r="L17" s="15"/>
      <c r="M17" s="15">
        <f>ROWS(M$1:M17)-ROWS($M$1)</f>
        <v>16</v>
      </c>
    </row>
    <row r="18" spans="1:13" ht="13.5" thickBot="1">
      <c r="A18" s="25" t="s">
        <v>30</v>
      </c>
      <c r="B18" s="26"/>
      <c r="C18" s="298" t="s">
        <v>94</v>
      </c>
      <c r="D18" s="299" t="s">
        <v>95</v>
      </c>
      <c r="E18" s="301" t="s">
        <v>96</v>
      </c>
      <c r="F18" s="298" t="s">
        <v>94</v>
      </c>
      <c r="G18" s="299" t="s">
        <v>95</v>
      </c>
      <c r="H18" s="301" t="s">
        <v>96</v>
      </c>
      <c r="I18" s="298" t="s">
        <v>94</v>
      </c>
      <c r="J18" s="299" t="s">
        <v>95</v>
      </c>
      <c r="K18" s="302" t="s">
        <v>96</v>
      </c>
      <c r="L18" s="15"/>
      <c r="M18" s="15"/>
    </row>
    <row r="19" spans="1:13" ht="13.5" thickBot="1">
      <c r="A19" s="25" t="s">
        <v>97</v>
      </c>
      <c r="B19" s="26"/>
      <c r="C19" s="298" t="s">
        <v>94</v>
      </c>
      <c r="D19" s="299" t="s">
        <v>95</v>
      </c>
      <c r="E19" s="301" t="s">
        <v>96</v>
      </c>
      <c r="F19" s="298" t="s">
        <v>94</v>
      </c>
      <c r="G19" s="299" t="s">
        <v>95</v>
      </c>
      <c r="H19" s="301" t="s">
        <v>96</v>
      </c>
      <c r="I19" s="298" t="s">
        <v>94</v>
      </c>
      <c r="J19" s="299" t="s">
        <v>95</v>
      </c>
      <c r="K19" s="302" t="s">
        <v>96</v>
      </c>
      <c r="L19" s="15"/>
      <c r="M19" s="15"/>
    </row>
    <row r="20" spans="1:13" ht="13.5" thickBot="1">
      <c r="A20" s="25" t="s">
        <v>98</v>
      </c>
      <c r="B20" s="26"/>
      <c r="C20" s="298" t="s">
        <v>94</v>
      </c>
      <c r="D20" s="299" t="s">
        <v>95</v>
      </c>
      <c r="E20" s="301" t="s">
        <v>96</v>
      </c>
      <c r="F20" s="298" t="s">
        <v>94</v>
      </c>
      <c r="G20" s="299" t="s">
        <v>95</v>
      </c>
      <c r="H20" s="301" t="s">
        <v>96</v>
      </c>
      <c r="I20" s="298" t="s">
        <v>94</v>
      </c>
      <c r="J20" s="299" t="s">
        <v>95</v>
      </c>
      <c r="K20" s="302" t="s">
        <v>96</v>
      </c>
      <c r="L20" s="15"/>
      <c r="M20" s="15"/>
    </row>
    <row r="21" spans="1:13" ht="13.5" thickBot="1">
      <c r="A21" s="20" t="s">
        <v>104</v>
      </c>
      <c r="B21" s="21"/>
      <c r="C21" s="306"/>
      <c r="D21" s="22"/>
      <c r="E21" s="22"/>
      <c r="F21" s="22"/>
      <c r="G21" s="22"/>
      <c r="H21" s="22"/>
      <c r="I21" s="22"/>
      <c r="J21" s="22"/>
      <c r="K21" s="27"/>
      <c r="L21" s="15"/>
      <c r="M21" s="15"/>
    </row>
    <row r="22" spans="1:13" ht="13.5" thickBot="1">
      <c r="A22" s="25" t="s">
        <v>99</v>
      </c>
      <c r="B22" s="26"/>
      <c r="C22" s="299" t="s">
        <v>95</v>
      </c>
      <c r="D22" s="301" t="s">
        <v>96</v>
      </c>
      <c r="E22" s="301" t="s">
        <v>96</v>
      </c>
      <c r="F22" s="299" t="s">
        <v>95</v>
      </c>
      <c r="G22" s="301" t="s">
        <v>96</v>
      </c>
      <c r="H22" s="301" t="s">
        <v>96</v>
      </c>
      <c r="I22" s="299" t="s">
        <v>95</v>
      </c>
      <c r="J22" s="299" t="s">
        <v>95</v>
      </c>
      <c r="K22" s="302" t="s">
        <v>96</v>
      </c>
      <c r="L22" s="15"/>
      <c r="M22" s="15">
        <f>ROWS($L$1:L22)-M17</f>
        <v>6</v>
      </c>
    </row>
    <row r="23" spans="1:11" ht="13.5" thickBot="1">
      <c r="A23" s="25" t="s">
        <v>100</v>
      </c>
      <c r="B23" s="26"/>
      <c r="C23" s="299" t="s">
        <v>95</v>
      </c>
      <c r="D23" s="301" t="s">
        <v>96</v>
      </c>
      <c r="E23" s="301" t="s">
        <v>96</v>
      </c>
      <c r="F23" s="301" t="s">
        <v>96</v>
      </c>
      <c r="G23" s="301" t="s">
        <v>96</v>
      </c>
      <c r="H23" s="301" t="s">
        <v>96</v>
      </c>
      <c r="I23" s="299" t="s">
        <v>95</v>
      </c>
      <c r="J23" s="301" t="s">
        <v>96</v>
      </c>
      <c r="K23" s="302" t="s">
        <v>96</v>
      </c>
    </row>
    <row r="24" spans="1:11" ht="13.5" thickBot="1">
      <c r="A24" s="28" t="s">
        <v>101</v>
      </c>
      <c r="B24" s="29"/>
      <c r="C24" s="303" t="s">
        <v>95</v>
      </c>
      <c r="D24" s="304" t="s">
        <v>96</v>
      </c>
      <c r="E24" s="304" t="s">
        <v>96</v>
      </c>
      <c r="F24" s="304" t="s">
        <v>96</v>
      </c>
      <c r="G24" s="304" t="s">
        <v>96</v>
      </c>
      <c r="H24" s="304" t="s">
        <v>96</v>
      </c>
      <c r="I24" s="303" t="s">
        <v>95</v>
      </c>
      <c r="J24" s="304" t="s">
        <v>96</v>
      </c>
      <c r="K24" s="305" t="s">
        <v>96</v>
      </c>
    </row>
    <row r="25" ht="13.5" thickTop="1"/>
    <row r="27" spans="1:5" ht="12.75" hidden="1">
      <c r="A27" s="296" t="s">
        <v>20</v>
      </c>
      <c r="B27" s="15" t="str">
        <f>Entry!B3</f>
        <v>Low</v>
      </c>
      <c r="C27" s="15"/>
      <c r="D27" s="15"/>
      <c r="E27" s="15"/>
    </row>
    <row r="28" spans="1:5" ht="12.75" hidden="1">
      <c r="A28" s="296" t="s">
        <v>86</v>
      </c>
      <c r="B28" s="15" t="str">
        <f>Entry!B4</f>
        <v>99-99.9</v>
      </c>
      <c r="C28" s="15"/>
      <c r="D28" s="15"/>
      <c r="E28" s="15"/>
    </row>
    <row r="29" spans="1:5" ht="12.75" hidden="1">
      <c r="A29" s="296" t="s">
        <v>89</v>
      </c>
      <c r="B29" s="15" t="str">
        <f>Entry!B5</f>
        <v>Concentration reduction</v>
      </c>
      <c r="C29" s="15"/>
      <c r="D29" s="15"/>
      <c r="E29" s="15"/>
    </row>
    <row r="30" spans="1:5" ht="12.75" hidden="1">
      <c r="A30" s="296" t="s">
        <v>27</v>
      </c>
      <c r="B30" s="15" t="str">
        <f>Media_type</f>
        <v>Unconsolidated media</v>
      </c>
      <c r="C30" s="15"/>
      <c r="D30" s="15"/>
      <c r="E30" s="15"/>
    </row>
    <row r="31" spans="1:5" ht="12.75" hidden="1">
      <c r="A31" s="296" t="s">
        <v>29</v>
      </c>
      <c r="B31" s="15" t="str">
        <f>Entry!B7</f>
        <v>Homogeneous permeable</v>
      </c>
      <c r="C31" s="15" t="str">
        <f>+C34</f>
        <v>Possible</v>
      </c>
      <c r="D31" s="15"/>
      <c r="E31" s="15"/>
    </row>
    <row r="32" spans="1:5" ht="12.75" hidden="1">
      <c r="A32" s="297"/>
      <c r="B32" s="15"/>
      <c r="C32" s="15"/>
      <c r="D32" s="15"/>
      <c r="E32" s="15"/>
    </row>
    <row r="33" spans="1:5" ht="12.75" hidden="1">
      <c r="A33" s="297"/>
      <c r="B33" s="15" t="s">
        <v>105</v>
      </c>
      <c r="C33" s="15">
        <f>COLUMNS(B1)</f>
        <v>1</v>
      </c>
      <c r="D33" s="15" t="str">
        <f>ADDRESS(C35+1,C36+2)</f>
        <v>$E$6</v>
      </c>
      <c r="E33" s="15"/>
    </row>
    <row r="34" spans="1:5" ht="12.75" hidden="1">
      <c r="A34" s="297"/>
      <c r="B34" s="15" t="s">
        <v>106</v>
      </c>
      <c r="C34" s="15" t="str">
        <f ca="1">OFFSET(B1,C35,C36)</f>
        <v>Possible</v>
      </c>
      <c r="D34" s="15"/>
      <c r="E34" s="15"/>
    </row>
    <row r="35" spans="1:5" ht="15.75" hidden="1">
      <c r="A35" s="297"/>
      <c r="B35" s="32" t="s">
        <v>107</v>
      </c>
      <c r="C35" s="15">
        <f>+C37+C40+C38+E38</f>
        <v>5</v>
      </c>
      <c r="D35" s="15"/>
      <c r="E35" s="15"/>
    </row>
    <row r="36" spans="1:5" ht="15.75" hidden="1">
      <c r="A36" s="172"/>
      <c r="B36" s="32" t="s">
        <v>108</v>
      </c>
      <c r="C36" s="32">
        <f>+C41+C42-1</f>
        <v>3</v>
      </c>
      <c r="D36" s="15"/>
      <c r="E36" s="15"/>
    </row>
    <row r="37" spans="1:5" ht="12.75" hidden="1">
      <c r="A37" s="297"/>
      <c r="B37" s="15" t="s">
        <v>109</v>
      </c>
      <c r="C37" s="15">
        <v>2</v>
      </c>
      <c r="D37" s="15"/>
      <c r="E37" s="15"/>
    </row>
    <row r="38" spans="1:5" ht="12.75" hidden="1">
      <c r="A38" s="297"/>
      <c r="B38" s="15" t="str">
        <f>'Named Ranges'!D12</f>
        <v>Where in Media List</v>
      </c>
      <c r="C38" s="15">
        <f>'Named Ranges'!C12</f>
        <v>1</v>
      </c>
      <c r="D38" s="15"/>
      <c r="E38" s="15">
        <f>+C39-E39</f>
        <v>1</v>
      </c>
    </row>
    <row r="39" spans="1:5" ht="12.75" hidden="1">
      <c r="A39" s="297"/>
      <c r="B39" s="15" t="str">
        <f>B27&amp;" "&amp;LOWER(A27)</f>
        <v>Low contaminant mass density</v>
      </c>
      <c r="C39" s="15">
        <f>MATCH(B39,'1. Remedial Goal vs Media'!A1:A13,D13)</f>
        <v>1</v>
      </c>
      <c r="D39" s="15"/>
      <c r="E39" s="15">
        <f>+IF(C39&gt;1,1,0)</f>
        <v>0</v>
      </c>
    </row>
    <row r="40" spans="1:5" ht="12.75" hidden="1">
      <c r="A40" s="297"/>
      <c r="B40" s="15" t="s">
        <v>110</v>
      </c>
      <c r="C40" s="15">
        <f>MATCH(B30,'1. Remedial Goal vs Media'!A4:A12,0)</f>
        <v>1</v>
      </c>
      <c r="D40" s="15"/>
      <c r="E40" s="15"/>
    </row>
    <row r="41" spans="1:5" ht="12.75" hidden="1">
      <c r="A41" s="297"/>
      <c r="B41" s="15" t="s">
        <v>111</v>
      </c>
      <c r="C41" s="15">
        <f>MATCH(B29,'1. Remedial Goal vs Media'!C2:K2,0)</f>
        <v>1</v>
      </c>
      <c r="D41" s="15"/>
      <c r="E41" s="15"/>
    </row>
    <row r="42" spans="1:5" ht="12.75" hidden="1">
      <c r="A42" s="297"/>
      <c r="B42" s="15" t="s">
        <v>112</v>
      </c>
      <c r="C42" s="15">
        <f>MATCH(B28,'1. Remedial Goal vs Media'!C15:E15)</f>
        <v>3</v>
      </c>
      <c r="D42" s="15"/>
      <c r="E42" s="15"/>
    </row>
  </sheetData>
  <sheetProtection password="C979" sheet="1" objects="1" scenarios="1"/>
  <mergeCells count="8">
    <mergeCell ref="C14:E14"/>
    <mergeCell ref="F14:H14"/>
    <mergeCell ref="I14:K14"/>
    <mergeCell ref="A1:K1"/>
    <mergeCell ref="C2:E2"/>
    <mergeCell ref="F2:H2"/>
    <mergeCell ref="I2:K2"/>
    <mergeCell ref="A13:K13"/>
  </mergeCells>
  <printOptions/>
  <pageMargins left="0.25" right="0.25" top="0.5" bottom="0.5" header="0.25" footer="0.25"/>
  <pageSetup cellComments="atEnd" horizontalDpi="600" verticalDpi="600" orientation="landscape" r:id="rId1"/>
  <headerFooter alignWithMargins="0">
    <oddFooter>&amp;LAttachment 3, Table A2</oddFooter>
  </headerFooter>
</worksheet>
</file>

<file path=xl/worksheets/sheet9.xml><?xml version="1.0" encoding="utf-8"?>
<worksheet xmlns="http://schemas.openxmlformats.org/spreadsheetml/2006/main" xmlns:r="http://schemas.openxmlformats.org/officeDocument/2006/relationships">
  <sheetPr codeName="Sheet15">
    <pageSetUpPr fitToPage="1"/>
  </sheetPr>
  <dimension ref="A1:E43"/>
  <sheetViews>
    <sheetView tabSelected="1" zoomScalePageLayoutView="0" workbookViewId="0" topLeftCell="A1">
      <selection activeCell="A1" sqref="A1"/>
    </sheetView>
  </sheetViews>
  <sheetFormatPr defaultColWidth="8.00390625" defaultRowHeight="15.75"/>
  <cols>
    <col min="1" max="1" width="4.125" style="9" customWidth="1"/>
    <col min="2" max="2" width="3.875" style="10" customWidth="1"/>
    <col min="3" max="3" width="101.75390625" style="2" customWidth="1"/>
    <col min="4" max="4" width="8.625" style="2" customWidth="1"/>
    <col min="5" max="16384" width="8.00390625" style="2" customWidth="1"/>
  </cols>
  <sheetData>
    <row r="1" ht="18">
      <c r="A1" s="486" t="s">
        <v>389</v>
      </c>
    </row>
    <row r="2" spans="1:5" ht="39.75" customHeight="1">
      <c r="A2" s="1"/>
      <c r="B2" s="623" t="s">
        <v>11</v>
      </c>
      <c r="C2" s="624"/>
      <c r="D2" s="276"/>
      <c r="E2"/>
    </row>
    <row r="3" spans="1:5" ht="16.5">
      <c r="A3" s="1"/>
      <c r="B3" s="621" t="s">
        <v>417</v>
      </c>
      <c r="C3" s="622"/>
      <c r="D3" s="276"/>
      <c r="E3"/>
    </row>
    <row r="4" spans="1:5" ht="18.75">
      <c r="A4" s="3"/>
      <c r="B4" s="546" t="s">
        <v>411</v>
      </c>
      <c r="C4" s="547"/>
      <c r="D4" s="5"/>
      <c r="E4"/>
    </row>
    <row r="5" spans="1:5" ht="123.75" customHeight="1">
      <c r="A5" s="3"/>
      <c r="B5" s="546"/>
      <c r="C5" s="560" t="s">
        <v>6</v>
      </c>
      <c r="D5" s="5"/>
      <c r="E5"/>
    </row>
    <row r="6" spans="1:5" ht="18.75">
      <c r="A6" s="3"/>
      <c r="B6" s="539" t="s">
        <v>12</v>
      </c>
      <c r="C6" s="5"/>
      <c r="D6" s="5"/>
      <c r="E6"/>
    </row>
    <row r="7" spans="1:5" ht="18" customHeight="1">
      <c r="A7" s="526"/>
      <c r="B7" s="527"/>
      <c r="C7" s="555" t="s">
        <v>13</v>
      </c>
      <c r="D7" s="5"/>
      <c r="E7"/>
    </row>
    <row r="8" spans="1:5" ht="18" customHeight="1">
      <c r="A8" s="526"/>
      <c r="B8" s="527"/>
      <c r="C8" s="555" t="s">
        <v>14</v>
      </c>
      <c r="D8" s="5"/>
      <c r="E8"/>
    </row>
    <row r="9" spans="1:5" ht="18" customHeight="1">
      <c r="A9" s="526"/>
      <c r="B9" s="527"/>
      <c r="C9" s="555" t="s">
        <v>15</v>
      </c>
      <c r="D9" s="5"/>
      <c r="E9"/>
    </row>
    <row r="10" spans="1:5" ht="18" customHeight="1">
      <c r="A10" s="526"/>
      <c r="B10" s="527"/>
      <c r="C10" s="555" t="s">
        <v>16</v>
      </c>
      <c r="D10" s="5"/>
      <c r="E10"/>
    </row>
    <row r="11" spans="1:5" ht="18" customHeight="1">
      <c r="A11" s="526"/>
      <c r="B11" s="527"/>
      <c r="C11" s="555" t="s">
        <v>17</v>
      </c>
      <c r="D11" s="5"/>
      <c r="E11"/>
    </row>
    <row r="12" spans="1:5" ht="18" customHeight="1" hidden="1">
      <c r="A12" s="3"/>
      <c r="B12" s="6"/>
      <c r="C12" s="7"/>
      <c r="D12" s="5"/>
      <c r="E12"/>
    </row>
    <row r="13" spans="1:5" ht="18.75">
      <c r="A13" s="3"/>
      <c r="B13" s="539" t="s">
        <v>388</v>
      </c>
      <c r="C13" s="7"/>
      <c r="D13" s="5"/>
      <c r="E13"/>
    </row>
    <row r="14" spans="1:5" s="532" customFormat="1" ht="104.25" customHeight="1">
      <c r="A14" s="528"/>
      <c r="B14" s="529"/>
      <c r="C14" s="530" t="s">
        <v>7</v>
      </c>
      <c r="D14" s="556"/>
      <c r="E14" s="489"/>
    </row>
    <row r="15" spans="1:5" s="532" customFormat="1" ht="25.5">
      <c r="A15" s="533"/>
      <c r="B15" s="534"/>
      <c r="C15" s="535" t="s">
        <v>0</v>
      </c>
      <c r="D15" s="557"/>
      <c r="E15" s="489"/>
    </row>
    <row r="16" spans="1:5" ht="18.75">
      <c r="A16" s="3"/>
      <c r="B16" s="539" t="s">
        <v>13</v>
      </c>
      <c r="C16" s="5"/>
      <c r="D16" s="5"/>
      <c r="E16"/>
    </row>
    <row r="17" spans="1:5" s="532" customFormat="1" ht="25.5">
      <c r="A17" s="526"/>
      <c r="B17" s="527"/>
      <c r="C17" s="536" t="s">
        <v>396</v>
      </c>
      <c r="D17" s="531"/>
      <c r="E17" s="489"/>
    </row>
    <row r="18" spans="1:5" s="532" customFormat="1" ht="25.5">
      <c r="A18" s="526"/>
      <c r="B18" s="527"/>
      <c r="C18" s="537" t="s">
        <v>414</v>
      </c>
      <c r="D18" s="531"/>
      <c r="E18" s="489"/>
    </row>
    <row r="19" spans="1:5" s="532" customFormat="1" ht="15">
      <c r="A19" s="526"/>
      <c r="B19" s="527"/>
      <c r="C19" s="537" t="s">
        <v>18</v>
      </c>
      <c r="D19" s="531"/>
      <c r="E19" s="489"/>
    </row>
    <row r="20" spans="1:5" ht="18.75">
      <c r="A20" s="3"/>
      <c r="B20" s="539" t="s">
        <v>14</v>
      </c>
      <c r="C20" s="474"/>
      <c r="D20" s="5"/>
      <c r="E20"/>
    </row>
    <row r="21" spans="1:5" s="532" customFormat="1" ht="15">
      <c r="A21" s="526"/>
      <c r="B21" s="527"/>
      <c r="C21" s="536" t="s">
        <v>397</v>
      </c>
      <c r="D21" s="531"/>
      <c r="E21" s="489"/>
    </row>
    <row r="22" spans="1:5" s="532" customFormat="1" ht="25.5">
      <c r="A22" s="526"/>
      <c r="B22" s="527"/>
      <c r="C22" s="536" t="s">
        <v>403</v>
      </c>
      <c r="D22" s="531"/>
      <c r="E22" s="489"/>
    </row>
    <row r="23" spans="1:5" s="532" customFormat="1" ht="25.5" customHeight="1">
      <c r="A23" s="526"/>
      <c r="B23" s="527"/>
      <c r="C23" s="536" t="s">
        <v>398</v>
      </c>
      <c r="D23" s="531"/>
      <c r="E23" s="489"/>
    </row>
    <row r="24" spans="1:5" s="532" customFormat="1" ht="25.5">
      <c r="A24" s="526"/>
      <c r="B24" s="527"/>
      <c r="C24" s="538" t="s">
        <v>8</v>
      </c>
      <c r="D24" s="531"/>
      <c r="E24" s="489"/>
    </row>
    <row r="25" spans="1:5" ht="18.75">
      <c r="A25" s="3"/>
      <c r="B25" s="539" t="s">
        <v>383</v>
      </c>
      <c r="C25" s="474"/>
      <c r="D25" s="5"/>
      <c r="E25"/>
    </row>
    <row r="26" spans="1:5" s="532" customFormat="1" ht="51">
      <c r="A26" s="526"/>
      <c r="B26" s="527"/>
      <c r="C26" s="536" t="s">
        <v>9</v>
      </c>
      <c r="D26" s="531"/>
      <c r="E26" s="489"/>
    </row>
    <row r="27" spans="1:5" s="532" customFormat="1" ht="63.75">
      <c r="A27" s="526"/>
      <c r="B27" s="527"/>
      <c r="C27" s="536" t="s">
        <v>1</v>
      </c>
      <c r="D27" s="531"/>
      <c r="E27" s="489"/>
    </row>
    <row r="28" spans="1:5" s="532" customFormat="1" ht="54">
      <c r="A28" s="526"/>
      <c r="B28" s="527"/>
      <c r="C28" s="536" t="s">
        <v>2</v>
      </c>
      <c r="D28" s="531"/>
      <c r="E28" s="489"/>
    </row>
    <row r="29" spans="1:5" s="532" customFormat="1" ht="38.25">
      <c r="A29" s="526"/>
      <c r="B29" s="527"/>
      <c r="C29" s="536" t="s">
        <v>3</v>
      </c>
      <c r="D29" s="531"/>
      <c r="E29" s="489"/>
    </row>
    <row r="30" spans="1:5" s="532" customFormat="1" ht="51">
      <c r="A30" s="526"/>
      <c r="B30" s="527"/>
      <c r="C30" s="536" t="s">
        <v>416</v>
      </c>
      <c r="D30" s="531"/>
      <c r="E30" s="489"/>
    </row>
    <row r="31" spans="1:5" s="532" customFormat="1" ht="25.5">
      <c r="A31" s="526"/>
      <c r="B31" s="527"/>
      <c r="C31" s="536" t="s">
        <v>415</v>
      </c>
      <c r="D31" s="531"/>
      <c r="E31" s="489"/>
    </row>
    <row r="32" spans="1:5" s="532" customFormat="1" ht="160.5" customHeight="1">
      <c r="A32" s="526"/>
      <c r="B32" s="527"/>
      <c r="C32" s="536" t="s">
        <v>5</v>
      </c>
      <c r="D32" s="531"/>
      <c r="E32" s="489"/>
    </row>
    <row r="33" spans="1:5" s="532" customFormat="1" ht="63.75">
      <c r="A33" s="526"/>
      <c r="B33" s="527"/>
      <c r="C33" s="536" t="s">
        <v>407</v>
      </c>
      <c r="D33" s="531"/>
      <c r="E33" s="489"/>
    </row>
    <row r="34" spans="1:5" s="532" customFormat="1" ht="25.5">
      <c r="A34" s="526"/>
      <c r="B34" s="527"/>
      <c r="C34" s="536" t="s">
        <v>4</v>
      </c>
      <c r="D34" s="531"/>
      <c r="E34" s="489"/>
    </row>
    <row r="35" spans="1:5" ht="18.75">
      <c r="A35" s="3"/>
      <c r="B35" s="539" t="s">
        <v>16</v>
      </c>
      <c r="C35" s="474"/>
      <c r="D35" s="5"/>
      <c r="E35"/>
    </row>
    <row r="36" spans="1:5" s="532" customFormat="1" ht="63.75">
      <c r="A36" s="526"/>
      <c r="B36" s="527"/>
      <c r="C36" s="537" t="s">
        <v>382</v>
      </c>
      <c r="D36" s="531"/>
      <c r="E36" s="489"/>
    </row>
    <row r="37" spans="1:5" s="532" customFormat="1" ht="76.5">
      <c r="A37" s="526"/>
      <c r="B37" s="527"/>
      <c r="C37" s="536" t="s">
        <v>10</v>
      </c>
      <c r="D37" s="531"/>
      <c r="E37" s="489"/>
    </row>
    <row r="38" spans="1:5" ht="18.75">
      <c r="A38" s="3"/>
      <c r="B38" s="539" t="s">
        <v>17</v>
      </c>
      <c r="C38" s="474"/>
      <c r="D38" s="5"/>
      <c r="E38"/>
    </row>
    <row r="39" spans="1:5" s="532" customFormat="1" ht="51">
      <c r="A39" s="526"/>
      <c r="B39" s="527"/>
      <c r="C39" s="536" t="s">
        <v>404</v>
      </c>
      <c r="D39" s="531"/>
      <c r="E39" s="489"/>
    </row>
    <row r="40" spans="1:5" ht="22.5">
      <c r="A40" s="3"/>
      <c r="B40" s="4"/>
      <c r="C40" s="8"/>
      <c r="D40" s="5"/>
      <c r="E40"/>
    </row>
    <row r="41" spans="1:5" ht="18" customHeight="1">
      <c r="A41" s="3"/>
      <c r="B41" s="6"/>
      <c r="C41" s="5"/>
      <c r="D41" s="5"/>
      <c r="E41"/>
    </row>
    <row r="42" spans="1:5" ht="18" customHeight="1">
      <c r="A42" s="3"/>
      <c r="B42" s="6"/>
      <c r="C42" s="5"/>
      <c r="D42" s="5"/>
      <c r="E42"/>
    </row>
    <row r="43" ht="12.75">
      <c r="D43" s="277"/>
    </row>
  </sheetData>
  <sheetProtection/>
  <mergeCells count="2">
    <mergeCell ref="B3:C3"/>
    <mergeCell ref="B2:C2"/>
  </mergeCells>
  <hyperlinks>
    <hyperlink ref="C7" location="'User Notes'!A16" display="Background"/>
    <hyperlink ref="C8" location="'User Notes'!A20" display="The Worksheets"/>
    <hyperlink ref="C9" location="'User Notes'!A25" display="Getting Started"/>
    <hyperlink ref="C10" location="'User Notes'!A35" display="Tips and Comments"/>
    <hyperlink ref="C11" location="'User Notes'!A38" display="Making Changes"/>
  </hyperlinks>
  <printOptions/>
  <pageMargins left="0.75" right="0.75" top="1" bottom="1" header="0.5" footer="0.5"/>
  <pageSetup fitToHeight="1" fitToWidth="1" horizontalDpi="300" verticalDpi="300" orientation="portrait" scale="46" r:id="rId1"/>
  <headerFooter alignWithMargins="0">
    <oddHeader>&amp;C&amp;"Arial,Regular"&amp;8Attachment 5:  ISCO Screening Tool</oddHeader>
    <oddFooter>&amp;L&amp;"Arial,Regular"&amp;8&amp;A
&amp;D, &amp;T&amp;C&amp;"Arial,Regular"&amp;8Page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CH2M HILL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Porcella</dc:creator>
  <cp:keywords/>
  <dc:description/>
  <cp:lastModifiedBy>Kathryn S. Lowe</cp:lastModifiedBy>
  <cp:lastPrinted>2010-10-26T17:14:50Z</cp:lastPrinted>
  <dcterms:created xsi:type="dcterms:W3CDTF">2005-06-15T20:32:12Z</dcterms:created>
  <dcterms:modified xsi:type="dcterms:W3CDTF">2010-11-01T19:35:53Z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